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Factures" sheetId="2" state="visible" r:id="rId2"/>
    <sheet xmlns:r="http://schemas.openxmlformats.org/officeDocument/2006/relationships" name="Lignes" sheetId="3" state="visible" r:id="rId3"/>
    <sheet xmlns:r="http://schemas.openxmlformats.org/officeDocument/2006/relationships" name="Encaissements" sheetId="4" state="visible" r:id="rId4"/>
    <sheet xmlns:r="http://schemas.openxmlformats.org/officeDocument/2006/relationships" name="Facture" sheetId="5" state="visible" r:id="rId5"/>
    <sheet xmlns:r="http://schemas.openxmlformats.org/officeDocument/2006/relationships" name="Clients" sheetId="6" state="visible" r:id="rId6"/>
    <sheet xmlns:r="http://schemas.openxmlformats.org/officeDocument/2006/relationships" name="Produits" sheetId="7" state="visible" r:id="rId7"/>
    <sheet xmlns:r="http://schemas.openxmlformats.org/officeDocument/2006/relationships" name="Paramètres" sheetId="8" state="visible" r:id="rId8"/>
  </sheets>
  <definedNames>
    <definedName name="DateAnalyse">Paramètres!$B$7</definedName>
    <definedName name="Societe">Paramètres!$B$4</definedName>
    <definedName name="Exercice">Paramètres!$B$8</definedName>
    <definedName name="ListeTVA">Paramètres!$A$12:$A$14</definedName>
    <definedName name="ListeModes">Paramètres!$B$12:$B$15</definedName>
    <definedName name="_xlnm.Print_Area" localSheetId="0">'Tableau de bord'!$A$1:$M$60</definedName>
    <definedName name="_xlnm.Print_Area" localSheetId="4">'Facture'!$A$1:$I$34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dd/mm/yyyy"/>
    <numFmt numFmtId="166" formatCode="#,##0 &quot;DA&quot;"/>
    <numFmt numFmtId="167" formatCode="#,##0.00 &quot;DA&quot;"/>
    <numFmt numFmtId="168" formatCode="0%;;—"/>
    <numFmt numFmtId="169" formatCode="0;;&quot;—&quot;"/>
    <numFmt numFmtId="170" formatCode="#,##0.00;-#,##0.00;&quot;&quot;"/>
    <numFmt numFmtId="171" formatCode="0%;;&quot;&quot;"/>
    <numFmt numFmtId="172" formatCode="0.0%"/>
  </numFmts>
  <fonts count="25">
    <font>
      <name val="Calibri"/>
      <family val="2"/>
      <color theme="1"/>
      <sz val="11"/>
      <scheme val="minor"/>
    </font>
    <font>
      <name val="Inter"/>
      <b val="1"/>
      <color rgb="00FFFFFF"/>
      <sz val="18"/>
    </font>
    <font>
      <name val="Inter"/>
      <i val="1"/>
      <color rgb="007A7F73"/>
      <sz val="9"/>
    </font>
    <font>
      <name val="Inter"/>
      <b val="1"/>
      <color rgb="001F2A1C"/>
      <sz val="10"/>
    </font>
    <font>
      <name val="Inter"/>
      <color rgb="001F2A1C"/>
      <sz val="10"/>
    </font>
    <font>
      <name val="Inter"/>
      <b val="1"/>
      <color rgb="00FFFFFF"/>
      <sz val="10"/>
    </font>
    <font>
      <name val="Inter"/>
      <b val="1"/>
      <color rgb="003F4A1F"/>
      <sz val="16"/>
    </font>
    <font>
      <name val="Inter"/>
      <color rgb="007A7F73"/>
      <sz val="9"/>
    </font>
    <font>
      <name val="Inter"/>
      <b val="1"/>
      <color rgb="001F2A1C"/>
      <sz val="22"/>
    </font>
    <font>
      <name val="Inter"/>
      <b val="1"/>
      <color rgb="001F2A1C"/>
      <sz val="11"/>
    </font>
    <font>
      <name val="Inter"/>
      <b val="1"/>
      <color rgb="007A7F73"/>
      <sz val="8"/>
    </font>
    <font>
      <name val="Inter"/>
      <b val="1"/>
      <color rgb="001F2A1C"/>
      <sz val="12"/>
    </font>
    <font>
      <name val="Inter"/>
      <b val="1"/>
      <color rgb="00FFFFFF"/>
      <sz val="9"/>
    </font>
    <font>
      <name val="Inter"/>
      <color rgb="007A7F73"/>
      <sz val="10"/>
    </font>
    <font>
      <name val="Inter"/>
      <b val="1"/>
      <color rgb="00FFFFFF"/>
      <sz val="11"/>
    </font>
    <font>
      <name val="Inter"/>
      <i val="1"/>
      <color rgb="007A7F73"/>
      <sz val="8"/>
    </font>
    <font>
      <name val="Inter"/>
      <b val="1"/>
      <color rgb="001F2A1C"/>
      <sz val="20"/>
    </font>
    <font>
      <name val="Inter"/>
      <b val="1"/>
      <color rgb="007A7F73"/>
      <sz val="9"/>
    </font>
    <font>
      <name val="Inter"/>
      <b val="1"/>
      <color rgb="003F4A1F"/>
      <sz val="20"/>
    </font>
    <font>
      <name val="Inter"/>
      <b val="1"/>
      <color rgb="00067647"/>
      <sz val="20"/>
    </font>
    <font>
      <name val="Inter"/>
      <b val="1"/>
      <color rgb="00175CD3"/>
      <sz val="20"/>
    </font>
    <font>
      <name val="Inter"/>
      <b val="1"/>
      <color rgb="00B42318"/>
      <sz val="20"/>
    </font>
    <font>
      <name val="Inter"/>
      <b val="1"/>
      <color rgb="00B54708"/>
      <sz val="20"/>
    </font>
    <font>
      <name val="Inter"/>
      <color rgb="001F2A1C"/>
      <sz val="9"/>
    </font>
    <font>
      <name val="Inter"/>
      <b val="1"/>
      <color rgb="001F2A1C"/>
      <sz val="9"/>
    </font>
  </fonts>
  <fills count="6">
    <fill>
      <patternFill/>
    </fill>
    <fill>
      <patternFill patternType="gray125"/>
    </fill>
    <fill>
      <patternFill patternType="solid">
        <fgColor rgb="001F2A1C"/>
      </patternFill>
    </fill>
    <fill>
      <patternFill patternType="solid">
        <fgColor rgb="00FFF7D6"/>
      </patternFill>
    </fill>
    <fill>
      <patternFill patternType="solid">
        <fgColor rgb="003F4A1F"/>
      </patternFill>
    </fill>
    <fill>
      <patternFill patternType="solid">
        <fgColor rgb="00F7F3E8"/>
      </patternFill>
    </fill>
  </fills>
  <borders count="8">
    <border>
      <left/>
      <right/>
      <top/>
      <bottom/>
      <diagonal/>
    </border>
    <border>
      <bottom style="medium">
        <color rgb="00C9A646"/>
      </bottom>
    </border>
    <border>
      <bottom style="thin">
        <color rgb="00E4E0D3"/>
      </bottom>
    </border>
    <border>
      <top style="thick">
        <color rgb="003F4A1F"/>
      </top>
    </border>
    <border>
      <top style="thick">
        <color rgb="00067647"/>
      </top>
    </border>
    <border>
      <top style="thick">
        <color rgb="00175CD3"/>
      </top>
    </border>
    <border>
      <top style="thick">
        <color rgb="00B42318"/>
      </top>
    </border>
    <border>
      <top style="thick">
        <color rgb="00B54708"/>
      </top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6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17" fillId="5" borderId="3" applyAlignment="1" pivotButton="0" quotePrefix="0" xfId="0">
      <alignment vertical="center" indent="1"/>
    </xf>
    <xf numFmtId="0" fontId="0" fillId="5" borderId="3" applyAlignment="1" pivotButton="0" quotePrefix="0" xfId="0">
      <alignment vertical="center" indent="1"/>
    </xf>
    <xf numFmtId="0" fontId="17" fillId="5" borderId="4" applyAlignment="1" pivotButton="0" quotePrefix="0" xfId="0">
      <alignment vertical="center" indent="1"/>
    </xf>
    <xf numFmtId="0" fontId="0" fillId="5" borderId="4" applyAlignment="1" pivotButton="0" quotePrefix="0" xfId="0">
      <alignment vertical="center" indent="1"/>
    </xf>
    <xf numFmtId="0" fontId="17" fillId="5" borderId="5" applyAlignment="1" pivotButton="0" quotePrefix="0" xfId="0">
      <alignment vertical="center" indent="1"/>
    </xf>
    <xf numFmtId="0" fontId="0" fillId="5" borderId="5" applyAlignment="1" pivotButton="0" quotePrefix="0" xfId="0">
      <alignment vertical="center" indent="1"/>
    </xf>
    <xf numFmtId="166" fontId="18" fillId="5" borderId="0" applyAlignment="1" pivotButton="0" quotePrefix="0" xfId="0">
      <alignment vertical="center" indent="1"/>
    </xf>
    <xf numFmtId="0" fontId="0" fillId="5" borderId="0" applyAlignment="1" pivotButton="0" quotePrefix="0" xfId="0">
      <alignment vertical="center" indent="1"/>
    </xf>
    <xf numFmtId="166" fontId="19" fillId="5" borderId="0" applyAlignment="1" pivotButton="0" quotePrefix="0" xfId="0">
      <alignment vertical="center" indent="1"/>
    </xf>
    <xf numFmtId="166" fontId="20" fillId="5" borderId="0" applyAlignment="1" pivotButton="0" quotePrefix="0" xfId="0">
      <alignment vertical="center" indent="1"/>
    </xf>
    <xf numFmtId="0" fontId="7" fillId="5" borderId="0" applyAlignment="1" pivotButton="0" quotePrefix="0" xfId="0">
      <alignment vertical="center" indent="1"/>
    </xf>
    <xf numFmtId="0" fontId="17" fillId="5" borderId="6" applyAlignment="1" pivotButton="0" quotePrefix="0" xfId="0">
      <alignment vertical="center" indent="1"/>
    </xf>
    <xf numFmtId="0" fontId="0" fillId="5" borderId="6" applyAlignment="1" pivotButton="0" quotePrefix="0" xfId="0">
      <alignment vertical="center" indent="1"/>
    </xf>
    <xf numFmtId="0" fontId="17" fillId="5" borderId="7" applyAlignment="1" pivotButton="0" quotePrefix="0" xfId="0">
      <alignment vertical="center" indent="1"/>
    </xf>
    <xf numFmtId="0" fontId="0" fillId="5" borderId="7" applyAlignment="1" pivotButton="0" quotePrefix="0" xfId="0">
      <alignment vertical="center" indent="1"/>
    </xf>
    <xf numFmtId="166" fontId="21" fillId="5" borderId="0" applyAlignment="1" pivotButton="0" quotePrefix="0" xfId="0">
      <alignment vertical="center" indent="1"/>
    </xf>
    <xf numFmtId="172" fontId="18" fillId="5" borderId="0" applyAlignment="1" pivotButton="0" quotePrefix="0" xfId="0">
      <alignment vertical="center" indent="1"/>
    </xf>
    <xf numFmtId="1" fontId="22" fillId="5" borderId="0" applyAlignment="1" pivotButton="0" quotePrefix="0" xfId="0">
      <alignment vertical="center" indent="1"/>
    </xf>
    <xf numFmtId="0" fontId="11" fillId="0" borderId="0" pivotButton="0" quotePrefix="0" xfId="0"/>
    <xf numFmtId="0" fontId="12" fillId="4" borderId="0" pivotButton="0" quotePrefix="0" xfId="0"/>
    <xf numFmtId="0" fontId="23" fillId="0" borderId="2" pivotButton="0" quotePrefix="0" xfId="0"/>
    <xf numFmtId="166" fontId="23" fillId="0" borderId="2" pivotButton="0" quotePrefix="0" xfId="0"/>
    <xf numFmtId="166" fontId="24" fillId="0" borderId="0" pivotButton="0" quotePrefix="0" xfId="0"/>
    <xf numFmtId="0" fontId="0" fillId="4" borderId="0" pivotButton="0" quotePrefix="0" xfId="0"/>
    <xf numFmtId="9" fontId="23" fillId="0" borderId="2" pivotButton="0" quotePrefix="0" xfId="0"/>
    <xf numFmtId="0" fontId="5" fillId="4" borderId="0" applyAlignment="1" pivotButton="0" quotePrefix="0" xfId="0">
      <alignment vertical="center" wrapText="1"/>
    </xf>
    <xf numFmtId="0" fontId="4" fillId="0" borderId="0" pivotButton="0" quotePrefix="0" xfId="0"/>
    <xf numFmtId="165" fontId="4" fillId="0" borderId="0" pivotButton="0" quotePrefix="0" xfId="0"/>
    <xf numFmtId="167" fontId="4" fillId="0" borderId="0" pivotButton="0" quotePrefix="0" xfId="0"/>
    <xf numFmtId="169" fontId="4" fillId="0" borderId="0" pivotButton="0" quotePrefix="0" xfId="0"/>
    <xf numFmtId="168" fontId="4" fillId="0" borderId="0" pivotButton="0" quotePrefix="0" xfId="0"/>
    <xf numFmtId="9" fontId="4" fillId="0" borderId="0" pivotButton="0" quotePrefix="0" xfId="0"/>
    <xf numFmtId="0" fontId="6" fillId="0" borderId="0" pivotButton="0" quotePrefix="0" xfId="0"/>
    <xf numFmtId="0" fontId="8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0" fontId="9" fillId="3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4" borderId="0" applyAlignment="1" pivotButton="0" quotePrefix="0" xfId="0">
      <alignment horizontal="left" vertical="center"/>
    </xf>
    <xf numFmtId="0" fontId="12" fillId="4" borderId="0" applyAlignment="1" pivotButton="0" quotePrefix="0" xfId="0">
      <alignment horizontal="right" vertical="center"/>
    </xf>
    <xf numFmtId="0" fontId="4" fillId="0" borderId="2" pivotButton="0" quotePrefix="0" xfId="0"/>
    <xf numFmtId="0" fontId="4" fillId="0" borderId="2" applyAlignment="1" pivotButton="0" quotePrefix="0" xfId="0">
      <alignment horizontal="right"/>
    </xf>
    <xf numFmtId="170" fontId="4" fillId="0" borderId="2" applyAlignment="1" pivotButton="0" quotePrefix="0" xfId="0">
      <alignment horizontal="right"/>
    </xf>
    <xf numFmtId="171" fontId="4" fillId="0" borderId="2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167" fontId="4" fillId="0" borderId="0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right"/>
    </xf>
    <xf numFmtId="167" fontId="9" fillId="0" borderId="0" applyAlignment="1" pivotButton="0" quotePrefix="0" xfId="0">
      <alignment horizontal="right"/>
    </xf>
    <xf numFmtId="0" fontId="14" fillId="4" borderId="0" applyAlignment="1" pivotButton="0" quotePrefix="0" xfId="0">
      <alignment horizontal="right"/>
    </xf>
    <xf numFmtId="167" fontId="14" fillId="4" borderId="0" applyAlignment="1" pivotButton="0" quotePrefix="0" xfId="0">
      <alignment horizontal="right"/>
    </xf>
    <xf numFmtId="0" fontId="15" fillId="0" borderId="0" applyAlignment="1" pivotButton="0" quotePrefix="0" xfId="0">
      <alignment horizontal="center"/>
    </xf>
    <xf numFmtId="166" fontId="4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165" fontId="4" fillId="3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dxfs count="9">
    <dxf>
      <font>
        <b val="1"/>
        <color rgb="00B42318"/>
      </font>
    </dxf>
    <dxf>
      <font>
        <color rgb="00B42318"/>
      </font>
    </dxf>
    <dxf>
      <font>
        <b val="1"/>
        <color rgb="00B42318"/>
      </font>
      <fill>
        <patternFill patternType="solid">
          <fgColor rgb="00FEE4E2"/>
        </patternFill>
      </fill>
    </dxf>
    <dxf>
      <font>
        <b val="1"/>
        <color rgb="00067647"/>
      </font>
      <fill>
        <patternFill patternType="solid">
          <fgColor rgb="00DCFAE6"/>
        </patternFill>
      </fill>
    </dxf>
    <dxf>
      <font>
        <b val="1"/>
        <color rgb="00B54708"/>
      </font>
      <fill>
        <patternFill patternType="solid">
          <fgColor rgb="00FEF0C7"/>
        </patternFill>
      </fill>
    </dxf>
    <dxf>
      <font>
        <b val="1"/>
        <color rgb="00175CD3"/>
      </font>
      <fill>
        <patternFill patternType="solid">
          <fgColor rgb="00D1E9FF"/>
        </patternFill>
      </fill>
    </dxf>
    <dxf>
      <font>
        <b val="1"/>
        <color rgb="00067647"/>
      </font>
    </dxf>
    <dxf>
      <font>
        <b val="1"/>
        <color rgb="00B54708"/>
      </font>
    </dxf>
    <dxf>
      <font>
        <b val="1"/>
        <color rgb="00175CD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Facturé vs encaissé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bord'!C16</f>
            </strRef>
          </tx>
          <spPr>
            <a:solidFill xmlns:a="http://schemas.openxmlformats.org/drawingml/2006/main">
              <a:srgbClr val="5B6B2F"/>
            </a:solidFill>
            <a:ln xmlns:a="http://schemas.openxmlformats.org/drawingml/2006/main">
              <a:noFill/>
              <a:prstDash val="solid"/>
            </a:ln>
          </spPr>
          <cat>
            <numRef>
              <f>'Tableau de bord'!$B$17:$B$28</f>
            </numRef>
          </cat>
          <val>
            <numRef>
              <f>'Tableau de bord'!$C$17:$C$28</f>
            </numRef>
          </val>
        </ser>
        <ser>
          <idx val="1"/>
          <order val="1"/>
          <tx>
            <strRef>
              <f>'Tableau de bord'!D16</f>
            </strRef>
          </tx>
          <spPr>
            <a:solidFill xmlns:a="http://schemas.openxmlformats.org/drawingml/2006/main">
              <a:srgbClr val="C9A646"/>
            </a:solidFill>
            <a:ln xmlns:a="http://schemas.openxmlformats.org/drawingml/2006/main">
              <a:noFill/>
              <a:prstDash val="solid"/>
            </a:ln>
          </spPr>
          <cat>
            <numRef>
              <f>'Tableau de bord'!$B$17:$B$28</f>
            </numRef>
          </cat>
          <val>
            <numRef>
              <f>'Tableau de bord'!$D$17:$D$28</f>
            </numRef>
          </val>
        </ser>
        <gapWidth val="60"/>
        <overlap val="-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,&quot;k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Encours par ancienneté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bord'!C33</f>
            </strRef>
          </tx>
          <spPr>
            <a:solidFill xmlns:a="http://schemas.openxmlformats.org/drawingml/2006/main">
              <a:srgbClr val="D92D20"/>
            </a:solidFill>
            <a:ln xmlns:a="http://schemas.openxmlformats.org/drawingml/2006/main">
              <a:noFill/>
              <a:prstDash val="solid"/>
            </a:ln>
          </spPr>
          <cat>
            <numRef>
              <f>'Tableau de bord'!$B$34:$B$38</f>
            </numRef>
          </cat>
          <val>
            <numRef>
              <f>'Tableau de bord'!$C$34:$C$38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,&quot;k&quot;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Chiffre d'affaires HT par produit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'Produits'!G1</f>
            </strRef>
          </tx>
          <spPr>
            <a:solidFill xmlns:a="http://schemas.openxmlformats.org/drawingml/2006/main">
              <a:srgbClr val="5B6B2F"/>
            </a:solidFill>
            <a:ln xmlns:a="http://schemas.openxmlformats.org/drawingml/2006/main">
              <a:noFill/>
              <a:prstDash val="solid"/>
            </a:ln>
          </spPr>
          <cat>
            <numRef>
              <f>'Produits'!$B$2:$B$11</f>
            </numRef>
          </cat>
          <val>
            <numRef>
              <f>'Produits'!$G$2:$G$11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,&quot;k&quot;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14</row>
      <rowOff>0</rowOff>
    </from>
    <ext cx="6300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39</row>
      <rowOff>0</rowOff>
    </from>
    <ext cx="3311999" cy="223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43</row>
      <rowOff>0</rowOff>
    </from>
    <ext cx="4860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Factures" displayName="tFactures" ref="A1:M168" headerRowCount="1">
  <autoFilter ref="A1:M168"/>
  <tableColumns count="13">
    <tableColumn id="1" name="N° facture"/>
    <tableColumn id="2" name="Date"/>
    <tableColumn id="3" name="Code client"/>
    <tableColumn id="4" name="Client"/>
    <tableColumn id="5" name="Échéance"/>
    <tableColumn id="6" name="Montant HT"/>
    <tableColumn id="7" name="TVA"/>
    <tableColumn id="8" name="Montant TTC"/>
    <tableColumn id="9" name="Encaissé"/>
    <tableColumn id="10" name="Solde"/>
    <tableColumn id="11" name="Statut"/>
    <tableColumn id="12" name="Jours de retard"/>
    <tableColumn id="13" name="Tranche"/>
  </tableColumns>
  <tableStyleInfo name="TableStyleLight1" showRowStripes="1"/>
</table>
</file>

<file path=xl/tables/table2.xml><?xml version="1.0" encoding="utf-8"?>
<table xmlns="http://schemas.openxmlformats.org/spreadsheetml/2006/main" id="2" name="tLignes" displayName="tLignes" ref="A1:I584" headerRowCount="1">
  <autoFilter ref="A1:I584"/>
  <tableColumns count="9">
    <tableColumn id="1" name="N° facture"/>
    <tableColumn id="2" name="Réf"/>
    <tableColumn id="3" name="Désignation"/>
    <tableColumn id="4" name="Qté"/>
    <tableColumn id="5" name="PU HT"/>
    <tableColumn id="6" name="Remise"/>
    <tableColumn id="7" name="Taux TVA"/>
    <tableColumn id="8" name="Montant HT"/>
    <tableColumn id="9" name="TVA"/>
  </tableColumns>
  <tableStyleInfo name="TableStyleLight1" showRowStripes="1"/>
</table>
</file>

<file path=xl/tables/table3.xml><?xml version="1.0" encoding="utf-8"?>
<table xmlns="http://schemas.openxmlformats.org/spreadsheetml/2006/main" id="3" name="tEncaissements" displayName="tEncaissements" ref="A1:E141" headerRowCount="1">
  <autoFilter ref="A1:E141"/>
  <tableColumns count="5">
    <tableColumn id="1" name="Date"/>
    <tableColumn id="2" name="N° facture"/>
    <tableColumn id="3" name="Client"/>
    <tableColumn id="4" name="Mode"/>
    <tableColumn id="5" name="Montant"/>
  </tableColumns>
  <tableStyleInfo name="TableStyleLight1" showRowStripes="1"/>
</table>
</file>

<file path=xl/tables/table4.xml><?xml version="1.0" encoding="utf-8"?>
<table xmlns="http://schemas.openxmlformats.org/spreadsheetml/2006/main" id="4" name="tClients" displayName="tClients" ref="A1:K13" headerRowCount="1">
  <autoFilter ref="A1:K13"/>
  <tableColumns count="11">
    <tableColumn id="1" name="Code"/>
    <tableColumn id="2" name="Client"/>
    <tableColumn id="3" name="Ville"/>
    <tableColumn id="4" name="Délai (jours)"/>
    <tableColumn id="5" name="Plafond crédit"/>
    <tableColumn id="6" name="Facturé TTC"/>
    <tableColumn id="7" name="Encaissé"/>
    <tableColumn id="8" name="Solde dû"/>
    <tableColumn id="9" name="Dont en retard"/>
    <tableColumn id="10" name="Utilisation plafond"/>
    <tableColumn id="11" name="Rang"/>
  </tableColumns>
  <tableStyleInfo name="TableStyleLight1" showRowStripes="1"/>
</table>
</file>

<file path=xl/tables/table5.xml><?xml version="1.0" encoding="utf-8"?>
<table xmlns="http://schemas.openxmlformats.org/spreadsheetml/2006/main" id="5" name="tProduits" displayName="tProduits" ref="A1:G11" headerRowCount="1">
  <autoFilter ref="A1:G11"/>
  <tableColumns count="7">
    <tableColumn id="1" name="Réf"/>
    <tableColumn id="2" name="Désignation"/>
    <tableColumn id="3" name="Unité"/>
    <tableColumn id="4" name="Prix HT"/>
    <tableColumn id="5" name="TVA"/>
    <tableColumn id="6" name="Qté vendue"/>
    <tableColumn id="7" name="CA HT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tabColor rgb="00C9A646"/>
    <outlinePr summaryBelow="1" summaryRight="1"/>
    <pageSetUpPr fitToPage="1"/>
  </sheetPr>
  <dimension ref="B2:L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3" customWidth="1" min="5" max="5"/>
    <col width="16" customWidth="1" min="6" max="6"/>
    <col width="16" customWidth="1" min="7" max="7"/>
    <col width="16" customWidth="1" min="8" max="8"/>
    <col width="3" customWidth="1" min="9" max="9"/>
    <col width="16" customWidth="1" min="10" max="10"/>
    <col width="16" customWidth="1" min="11" max="11"/>
    <col width="16" customWidth="1" min="12" max="12"/>
    <col width="2" customWidth="1" min="13" max="13"/>
  </cols>
  <sheetData>
    <row r="2">
      <c r="B2" s="1" t="inlineStr">
        <is>
          <t>Facturation &amp; créances — tableau de bord</t>
        </is>
      </c>
    </row>
    <row r="3">
      <c r="B3" s="2">
        <f>Societe&amp;"  ·  exercice "&amp;Exercice&amp;"  ·  situation au "&amp;TEXT(DateAnalyse,"dd/mm/yyyy")&amp;"  ·  données de démonstration"</f>
        <v/>
      </c>
    </row>
    <row r="4"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6">
      <c r="B6" s="4" t="inlineStr">
        <is>
          <t>Chiffre d'affaires HT</t>
        </is>
      </c>
      <c r="C6" s="5" t="n"/>
      <c r="D6" s="5" t="n"/>
      <c r="F6" s="6" t="inlineStr">
        <is>
          <t>Encaissé (TTC)</t>
        </is>
      </c>
      <c r="G6" s="7" t="n"/>
      <c r="H6" s="7" t="n"/>
      <c r="J6" s="8" t="inlineStr">
        <is>
          <t>Encours clients</t>
        </is>
      </c>
      <c r="K6" s="9" t="n"/>
      <c r="L6" s="9" t="n"/>
    </row>
    <row r="7" ht="30" customHeight="1">
      <c r="B7" s="10">
        <f>SUM(Factures!F2:F168)</f>
        <v/>
      </c>
      <c r="C7" s="11" t="n"/>
      <c r="D7" s="11" t="n"/>
      <c r="F7" s="12">
        <f>SUM(Factures!I2:I168)</f>
        <v/>
      </c>
      <c r="G7" s="11" t="n"/>
      <c r="H7" s="11" t="n"/>
      <c r="J7" s="13">
        <f>SUM(Factures!J2:J168)</f>
        <v/>
      </c>
      <c r="K7" s="11" t="n"/>
      <c r="L7" s="11" t="n"/>
    </row>
    <row r="8">
      <c r="B8" s="14">
        <f>COUNTA(Factures!A2:A168)&amp;" factures émises"</f>
        <v/>
      </c>
      <c r="C8" s="11" t="n"/>
      <c r="D8" s="11" t="n"/>
      <c r="F8" s="14">
        <f>COUNT(Encaissements!E2:E141)&amp;" encaissements"</f>
        <v/>
      </c>
      <c r="G8" s="11" t="n"/>
      <c r="H8" s="11" t="n"/>
      <c r="J8" s="14">
        <f>COUNTIFS(Factures!J2:J168,"&gt;0.5")&amp;" factures ouvertes"</f>
        <v/>
      </c>
      <c r="K8" s="11" t="n"/>
      <c r="L8" s="11" t="n"/>
    </row>
    <row r="10">
      <c r="B10" s="15" t="inlineStr">
        <is>
          <t>Dont en retard</t>
        </is>
      </c>
      <c r="C10" s="16" t="n"/>
      <c r="D10" s="16" t="n"/>
      <c r="F10" s="4" t="inlineStr">
        <is>
          <t>Taux de recouvrement</t>
        </is>
      </c>
      <c r="G10" s="5" t="n"/>
      <c r="H10" s="5" t="n"/>
      <c r="J10" s="17" t="inlineStr">
        <is>
          <t>DSO (jours, 90 j glissants)</t>
        </is>
      </c>
      <c r="K10" s="18" t="n"/>
      <c r="L10" s="18" t="n"/>
    </row>
    <row r="11" ht="30" customHeight="1">
      <c r="B11" s="19">
        <f>SUMIFS(Factures!J2:J168,Factures!K2:K168,"En retard")</f>
        <v/>
      </c>
      <c r="C11" s="11" t="n"/>
      <c r="D11" s="11" t="n"/>
      <c r="F11" s="20">
        <f>IFERROR(SUM(Factures!I2:I168)/SUM(Factures!H2:H168),0)</f>
        <v/>
      </c>
      <c r="G11" s="11" t="n"/>
      <c r="H11" s="11" t="n"/>
      <c r="J11" s="21">
        <f>IFERROR(SUM(Factures!J2:J168)/SUMIFS(Factures!H2:H168,Factures!B2:B168,"&gt;"&amp;(DateAnalyse-90))*90,0)</f>
        <v/>
      </c>
      <c r="K11" s="11" t="n"/>
      <c r="L11" s="11" t="n"/>
    </row>
    <row r="12">
      <c r="B12" s="14">
        <f>COUNTIFS(Factures!K2:K168,"En retard")&amp;" factures en retard"</f>
        <v/>
      </c>
      <c r="C12" s="11" t="n"/>
      <c r="D12" s="11" t="n"/>
      <c r="F12" s="14">
        <f>"encaissé / facturé TTC"</f>
        <v/>
      </c>
      <c r="G12" s="11" t="n"/>
      <c r="H12" s="11" t="n"/>
      <c r="J12" s="14">
        <f>"délai moyen de paiement estimé"</f>
        <v/>
      </c>
      <c r="K12" s="11" t="n"/>
      <c r="L12" s="11" t="n"/>
    </row>
    <row r="15">
      <c r="B15" s="22" t="inlineStr">
        <is>
          <t>Évolution mensuelle (TTC)</t>
        </is>
      </c>
    </row>
    <row r="16">
      <c r="B16" s="23" t="inlineStr">
        <is>
          <t>Mois</t>
        </is>
      </c>
      <c r="C16" s="23" t="inlineStr">
        <is>
          <t>Facturé</t>
        </is>
      </c>
      <c r="D16" s="23" t="inlineStr">
        <is>
          <t>Encaissé</t>
        </is>
      </c>
    </row>
    <row r="17">
      <c r="B17" s="24" t="inlineStr">
        <is>
          <t>Janv.</t>
        </is>
      </c>
      <c r="C17" s="25">
        <f>SUMIFS(Factures!$H$2:$H$168,Factures!$B$2:$B$168,"&gt;="&amp;DATE(Exercice,1,1),Factures!$B$2:$B$168,"&lt;"&amp;DATE(Exercice,2,1))</f>
        <v/>
      </c>
      <c r="D17" s="25">
        <f>SUMIFS(Encaissements!$E$2:$E$141,Encaissements!$A$2:$A$141,"&gt;="&amp;DATE(Exercice,1,1),Encaissements!$A$2:$A$141,"&lt;"&amp;DATE(Exercice,2,1))</f>
        <v/>
      </c>
    </row>
    <row r="18">
      <c r="B18" s="24" t="inlineStr">
        <is>
          <t>Févr.</t>
        </is>
      </c>
      <c r="C18" s="25">
        <f>SUMIFS(Factures!$H$2:$H$168,Factures!$B$2:$B$168,"&gt;="&amp;DATE(Exercice,2,1),Factures!$B$2:$B$168,"&lt;"&amp;DATE(Exercice,3,1))</f>
        <v/>
      </c>
      <c r="D18" s="25">
        <f>SUMIFS(Encaissements!$E$2:$E$141,Encaissements!$A$2:$A$141,"&gt;="&amp;DATE(Exercice,2,1),Encaissements!$A$2:$A$141,"&lt;"&amp;DATE(Exercice,3,1))</f>
        <v/>
      </c>
    </row>
    <row r="19">
      <c r="B19" s="24" t="inlineStr">
        <is>
          <t>Mars</t>
        </is>
      </c>
      <c r="C19" s="25">
        <f>SUMIFS(Factures!$H$2:$H$168,Factures!$B$2:$B$168,"&gt;="&amp;DATE(Exercice,3,1),Factures!$B$2:$B$168,"&lt;"&amp;DATE(Exercice,4,1))</f>
        <v/>
      </c>
      <c r="D19" s="25">
        <f>SUMIFS(Encaissements!$E$2:$E$141,Encaissements!$A$2:$A$141,"&gt;="&amp;DATE(Exercice,3,1),Encaissements!$A$2:$A$141,"&lt;"&amp;DATE(Exercice,4,1))</f>
        <v/>
      </c>
    </row>
    <row r="20">
      <c r="B20" s="24" t="inlineStr">
        <is>
          <t>Avr.</t>
        </is>
      </c>
      <c r="C20" s="25">
        <f>SUMIFS(Factures!$H$2:$H$168,Factures!$B$2:$B$168,"&gt;="&amp;DATE(Exercice,4,1),Factures!$B$2:$B$168,"&lt;"&amp;DATE(Exercice,5,1))</f>
        <v/>
      </c>
      <c r="D20" s="25">
        <f>SUMIFS(Encaissements!$E$2:$E$141,Encaissements!$A$2:$A$141,"&gt;="&amp;DATE(Exercice,4,1),Encaissements!$A$2:$A$141,"&lt;"&amp;DATE(Exercice,5,1))</f>
        <v/>
      </c>
    </row>
    <row r="21">
      <c r="B21" s="24" t="inlineStr">
        <is>
          <t>Mai</t>
        </is>
      </c>
      <c r="C21" s="25">
        <f>SUMIFS(Factures!$H$2:$H$168,Factures!$B$2:$B$168,"&gt;="&amp;DATE(Exercice,5,1),Factures!$B$2:$B$168,"&lt;"&amp;DATE(Exercice,6,1))</f>
        <v/>
      </c>
      <c r="D21" s="25">
        <f>SUMIFS(Encaissements!$E$2:$E$141,Encaissements!$A$2:$A$141,"&gt;="&amp;DATE(Exercice,5,1),Encaissements!$A$2:$A$141,"&lt;"&amp;DATE(Exercice,6,1))</f>
        <v/>
      </c>
    </row>
    <row r="22">
      <c r="B22" s="24" t="inlineStr">
        <is>
          <t>Juin</t>
        </is>
      </c>
      <c r="C22" s="25">
        <f>SUMIFS(Factures!$H$2:$H$168,Factures!$B$2:$B$168,"&gt;="&amp;DATE(Exercice,6,1),Factures!$B$2:$B$168,"&lt;"&amp;DATE(Exercice,7,1))</f>
        <v/>
      </c>
      <c r="D22" s="25">
        <f>SUMIFS(Encaissements!$E$2:$E$141,Encaissements!$A$2:$A$141,"&gt;="&amp;DATE(Exercice,6,1),Encaissements!$A$2:$A$141,"&lt;"&amp;DATE(Exercice,7,1))</f>
        <v/>
      </c>
    </row>
    <row r="23">
      <c r="B23" s="24" t="inlineStr">
        <is>
          <t>Juil.</t>
        </is>
      </c>
      <c r="C23" s="25">
        <f>SUMIFS(Factures!$H$2:$H$168,Factures!$B$2:$B$168,"&gt;="&amp;DATE(Exercice,7,1),Factures!$B$2:$B$168,"&lt;"&amp;DATE(Exercice,8,1))</f>
        <v/>
      </c>
      <c r="D23" s="25">
        <f>SUMIFS(Encaissements!$E$2:$E$141,Encaissements!$A$2:$A$141,"&gt;="&amp;DATE(Exercice,7,1),Encaissements!$A$2:$A$141,"&lt;"&amp;DATE(Exercice,8,1))</f>
        <v/>
      </c>
    </row>
    <row r="24">
      <c r="B24" s="24" t="inlineStr">
        <is>
          <t>Août</t>
        </is>
      </c>
      <c r="C24" s="25">
        <f>SUMIFS(Factures!$H$2:$H$168,Factures!$B$2:$B$168,"&gt;="&amp;DATE(Exercice,8,1),Factures!$B$2:$B$168,"&lt;"&amp;DATE(Exercice,9,1))</f>
        <v/>
      </c>
      <c r="D24" s="25">
        <f>SUMIFS(Encaissements!$E$2:$E$141,Encaissements!$A$2:$A$141,"&gt;="&amp;DATE(Exercice,8,1),Encaissements!$A$2:$A$141,"&lt;"&amp;DATE(Exercice,9,1))</f>
        <v/>
      </c>
    </row>
    <row r="25">
      <c r="B25" s="24" t="inlineStr">
        <is>
          <t>Sept.</t>
        </is>
      </c>
      <c r="C25" s="25">
        <f>SUMIFS(Factures!$H$2:$H$168,Factures!$B$2:$B$168,"&gt;="&amp;DATE(Exercice,9,1),Factures!$B$2:$B$168,"&lt;"&amp;DATE(Exercice,10,1))</f>
        <v/>
      </c>
      <c r="D25" s="25">
        <f>SUMIFS(Encaissements!$E$2:$E$141,Encaissements!$A$2:$A$141,"&gt;="&amp;DATE(Exercice,9,1),Encaissements!$A$2:$A$141,"&lt;"&amp;DATE(Exercice,10,1))</f>
        <v/>
      </c>
    </row>
    <row r="26">
      <c r="B26" s="24" t="inlineStr">
        <is>
          <t>Oct.</t>
        </is>
      </c>
      <c r="C26" s="25">
        <f>SUMIFS(Factures!$H$2:$H$168,Factures!$B$2:$B$168,"&gt;="&amp;DATE(Exercice,10,1),Factures!$B$2:$B$168,"&lt;"&amp;DATE(Exercice,11,1))</f>
        <v/>
      </c>
      <c r="D26" s="25">
        <f>SUMIFS(Encaissements!$E$2:$E$141,Encaissements!$A$2:$A$141,"&gt;="&amp;DATE(Exercice,10,1),Encaissements!$A$2:$A$141,"&lt;"&amp;DATE(Exercice,11,1))</f>
        <v/>
      </c>
    </row>
    <row r="27">
      <c r="B27" s="24" t="inlineStr">
        <is>
          <t>Nov.</t>
        </is>
      </c>
      <c r="C27" s="25">
        <f>SUMIFS(Factures!$H$2:$H$168,Factures!$B$2:$B$168,"&gt;="&amp;DATE(Exercice,11,1),Factures!$B$2:$B$168,"&lt;"&amp;DATE(Exercice,12,1))</f>
        <v/>
      </c>
      <c r="D27" s="25">
        <f>SUMIFS(Encaissements!$E$2:$E$141,Encaissements!$A$2:$A$141,"&gt;="&amp;DATE(Exercice,11,1),Encaissements!$A$2:$A$141,"&lt;"&amp;DATE(Exercice,12,1))</f>
        <v/>
      </c>
    </row>
    <row r="28">
      <c r="B28" s="24" t="inlineStr">
        <is>
          <t>Déc.</t>
        </is>
      </c>
      <c r="C28" s="25">
        <f>SUMIFS(Factures!$H$2:$H$168,Factures!$B$2:$B$168,"&gt;="&amp;DATE(Exercice,12,1),Factures!$B$2:$B$168,"&lt;"&amp;DATE(Exercice+1,1,1))</f>
        <v/>
      </c>
      <c r="D28" s="25">
        <f>SUMIFS(Encaissements!$E$2:$E$141,Encaissements!$A$2:$A$141,"&gt;="&amp;DATE(Exercice,12,1),Encaissements!$A$2:$A$141,"&lt;"&amp;DATE(Exercice+1,1,1))</f>
        <v/>
      </c>
    </row>
    <row r="29">
      <c r="B29" s="26" t="inlineStr">
        <is>
          <t>Total</t>
        </is>
      </c>
      <c r="C29" s="26">
        <f>SUM(C17:C28)</f>
        <v/>
      </c>
      <c r="D29" s="26">
        <f>SUM(D17:D28)</f>
        <v/>
      </c>
    </row>
    <row r="32">
      <c r="B32" s="22" t="inlineStr">
        <is>
          <t>Balance âgée des créances</t>
        </is>
      </c>
      <c r="F32" s="22" t="inlineStr">
        <is>
          <t>Clients à relancer en priorité</t>
        </is>
      </c>
    </row>
    <row r="33">
      <c r="B33" s="23" t="inlineStr">
        <is>
          <t>Tranche</t>
        </is>
      </c>
      <c r="C33" s="23" t="inlineStr">
        <is>
          <t>Montant</t>
        </is>
      </c>
      <c r="D33" s="23" t="inlineStr">
        <is>
          <t>Factures</t>
        </is>
      </c>
      <c r="F33" s="23" t="inlineStr">
        <is>
          <t>Client</t>
        </is>
      </c>
      <c r="G33" s="27" t="n"/>
      <c r="H33" s="23" t="inlineStr">
        <is>
          <t>Solde dû</t>
        </is>
      </c>
      <c r="I33" s="27" t="n"/>
      <c r="J33" s="23" t="inlineStr">
        <is>
          <t>En retard</t>
        </is>
      </c>
      <c r="K33" s="23" t="inlineStr">
        <is>
          <t>Plafond</t>
        </is>
      </c>
    </row>
    <row r="34">
      <c r="B34" s="24" t="inlineStr">
        <is>
          <t>Non échue</t>
        </is>
      </c>
      <c r="C34" s="25">
        <f>SUMIFS(Factures!$J$2:$J$168,Factures!$M$2:$M$168,B34)</f>
        <v/>
      </c>
      <c r="D34" s="24">
        <f>COUNTIFS(Factures!$M$2:$M$168,B34)</f>
        <v/>
      </c>
      <c r="F34" s="24">
        <f>INDEX(Clients!$B$2:$B$13,MATCH(LARGE(Clients!$K$2:$K$13,1),Clients!$K$2:$K$13,0))</f>
        <v/>
      </c>
      <c r="G34" s="24" t="n"/>
      <c r="H34" s="25">
        <f>INDEX(Clients!$H$2:$H$13,MATCH(LARGE(Clients!$K$2:$K$13,1),Clients!$K$2:$K$13,0))</f>
        <v/>
      </c>
      <c r="I34" s="24" t="n"/>
      <c r="J34" s="25">
        <f>INDEX(Clients!$I$2:$I$13,MATCH(LARGE(Clients!$K$2:$K$13,1),Clients!$K$2:$K$13,0))</f>
        <v/>
      </c>
      <c r="K34" s="28">
        <f>INDEX(Clients!$J$2:$J$13,MATCH(LARGE(Clients!$K$2:$K$13,1),Clients!$K$2:$K$13,0))</f>
        <v/>
      </c>
    </row>
    <row r="35">
      <c r="B35" s="24" t="inlineStr">
        <is>
          <t>1–30 j</t>
        </is>
      </c>
      <c r="C35" s="25">
        <f>SUMIFS(Factures!$J$2:$J$168,Factures!$M$2:$M$168,B35)</f>
        <v/>
      </c>
      <c r="D35" s="24">
        <f>COUNTIFS(Factures!$M$2:$M$168,B35)</f>
        <v/>
      </c>
      <c r="F35" s="24">
        <f>INDEX(Clients!$B$2:$B$13,MATCH(LARGE(Clients!$K$2:$K$13,2),Clients!$K$2:$K$13,0))</f>
        <v/>
      </c>
      <c r="G35" s="24" t="n"/>
      <c r="H35" s="25">
        <f>INDEX(Clients!$H$2:$H$13,MATCH(LARGE(Clients!$K$2:$K$13,2),Clients!$K$2:$K$13,0))</f>
        <v/>
      </c>
      <c r="I35" s="24" t="n"/>
      <c r="J35" s="25">
        <f>INDEX(Clients!$I$2:$I$13,MATCH(LARGE(Clients!$K$2:$K$13,2),Clients!$K$2:$K$13,0))</f>
        <v/>
      </c>
      <c r="K35" s="28">
        <f>INDEX(Clients!$J$2:$J$13,MATCH(LARGE(Clients!$K$2:$K$13,2),Clients!$K$2:$K$13,0))</f>
        <v/>
      </c>
    </row>
    <row r="36">
      <c r="B36" s="24" t="inlineStr">
        <is>
          <t>31–60 j</t>
        </is>
      </c>
      <c r="C36" s="25">
        <f>SUMIFS(Factures!$J$2:$J$168,Factures!$M$2:$M$168,B36)</f>
        <v/>
      </c>
      <c r="D36" s="24">
        <f>COUNTIFS(Factures!$M$2:$M$168,B36)</f>
        <v/>
      </c>
      <c r="F36" s="24">
        <f>INDEX(Clients!$B$2:$B$13,MATCH(LARGE(Clients!$K$2:$K$13,3),Clients!$K$2:$K$13,0))</f>
        <v/>
      </c>
      <c r="G36" s="24" t="n"/>
      <c r="H36" s="25">
        <f>INDEX(Clients!$H$2:$H$13,MATCH(LARGE(Clients!$K$2:$K$13,3),Clients!$K$2:$K$13,0))</f>
        <v/>
      </c>
      <c r="I36" s="24" t="n"/>
      <c r="J36" s="25">
        <f>INDEX(Clients!$I$2:$I$13,MATCH(LARGE(Clients!$K$2:$K$13,3),Clients!$K$2:$K$13,0))</f>
        <v/>
      </c>
      <c r="K36" s="28">
        <f>INDEX(Clients!$J$2:$J$13,MATCH(LARGE(Clients!$K$2:$K$13,3),Clients!$K$2:$K$13,0))</f>
        <v/>
      </c>
    </row>
    <row r="37">
      <c r="B37" s="24" t="inlineStr">
        <is>
          <t>61–90 j</t>
        </is>
      </c>
      <c r="C37" s="25">
        <f>SUMIFS(Factures!$J$2:$J$168,Factures!$M$2:$M$168,B37)</f>
        <v/>
      </c>
      <c r="D37" s="24">
        <f>COUNTIFS(Factures!$M$2:$M$168,B37)</f>
        <v/>
      </c>
      <c r="F37" s="24">
        <f>INDEX(Clients!$B$2:$B$13,MATCH(LARGE(Clients!$K$2:$K$13,4),Clients!$K$2:$K$13,0))</f>
        <v/>
      </c>
      <c r="G37" s="24" t="n"/>
      <c r="H37" s="25">
        <f>INDEX(Clients!$H$2:$H$13,MATCH(LARGE(Clients!$K$2:$K$13,4),Clients!$K$2:$K$13,0))</f>
        <v/>
      </c>
      <c r="I37" s="24" t="n"/>
      <c r="J37" s="25">
        <f>INDEX(Clients!$I$2:$I$13,MATCH(LARGE(Clients!$K$2:$K$13,4),Clients!$K$2:$K$13,0))</f>
        <v/>
      </c>
      <c r="K37" s="28">
        <f>INDEX(Clients!$J$2:$J$13,MATCH(LARGE(Clients!$K$2:$K$13,4),Clients!$K$2:$K$13,0))</f>
        <v/>
      </c>
    </row>
    <row r="38">
      <c r="B38" s="24" t="inlineStr">
        <is>
          <t>&gt; 90 j</t>
        </is>
      </c>
      <c r="C38" s="25">
        <f>SUMIFS(Factures!$J$2:$J$168,Factures!$M$2:$M$168,B38)</f>
        <v/>
      </c>
      <c r="D38" s="24">
        <f>COUNTIFS(Factures!$M$2:$M$168,B38)</f>
        <v/>
      </c>
      <c r="F38" s="24">
        <f>INDEX(Clients!$B$2:$B$13,MATCH(LARGE(Clients!$K$2:$K$13,5),Clients!$K$2:$K$13,0))</f>
        <v/>
      </c>
      <c r="G38" s="24" t="n"/>
      <c r="H38" s="25">
        <f>INDEX(Clients!$H$2:$H$13,MATCH(LARGE(Clients!$K$2:$K$13,5),Clients!$K$2:$K$13,0))</f>
        <v/>
      </c>
      <c r="I38" s="24" t="n"/>
      <c r="J38" s="25">
        <f>INDEX(Clients!$I$2:$I$13,MATCH(LARGE(Clients!$K$2:$K$13,5),Clients!$K$2:$K$13,0))</f>
        <v/>
      </c>
      <c r="K38" s="28">
        <f>INDEX(Clients!$J$2:$J$13,MATCH(LARGE(Clients!$K$2:$K$13,5),Clients!$K$2:$K$13,0))</f>
        <v/>
      </c>
    </row>
    <row r="39">
      <c r="F39" s="24">
        <f>INDEX(Clients!$B$2:$B$13,MATCH(LARGE(Clients!$K$2:$K$13,6),Clients!$K$2:$K$13,0))</f>
        <v/>
      </c>
      <c r="G39" s="24" t="n"/>
      <c r="H39" s="25">
        <f>INDEX(Clients!$H$2:$H$13,MATCH(LARGE(Clients!$K$2:$K$13,6),Clients!$K$2:$K$13,0))</f>
        <v/>
      </c>
      <c r="I39" s="24" t="n"/>
      <c r="J39" s="25">
        <f>INDEX(Clients!$I$2:$I$13,MATCH(LARGE(Clients!$K$2:$K$13,6),Clients!$K$2:$K$13,0))</f>
        <v/>
      </c>
      <c r="K39" s="28">
        <f>INDEX(Clients!$J$2:$J$13,MATCH(LARGE(Clients!$K$2:$K$13,6),Clients!$K$2:$K$13,0))</f>
        <v/>
      </c>
    </row>
    <row r="40">
      <c r="F40" s="24">
        <f>INDEX(Clients!$B$2:$B$13,MATCH(LARGE(Clients!$K$2:$K$13,7),Clients!$K$2:$K$13,0))</f>
        <v/>
      </c>
      <c r="G40" s="24" t="n"/>
      <c r="H40" s="25">
        <f>INDEX(Clients!$H$2:$H$13,MATCH(LARGE(Clients!$K$2:$K$13,7),Clients!$K$2:$K$13,0))</f>
        <v/>
      </c>
      <c r="I40" s="24" t="n"/>
      <c r="J40" s="25">
        <f>INDEX(Clients!$I$2:$I$13,MATCH(LARGE(Clients!$K$2:$K$13,7),Clients!$K$2:$K$13,0))</f>
        <v/>
      </c>
      <c r="K40" s="28">
        <f>INDEX(Clients!$J$2:$J$13,MATCH(LARGE(Clients!$K$2:$K$13,7),Clients!$K$2:$K$13,0))</f>
        <v/>
      </c>
    </row>
    <row r="41">
      <c r="F41" s="24">
        <f>INDEX(Clients!$B$2:$B$13,MATCH(LARGE(Clients!$K$2:$K$13,8),Clients!$K$2:$K$13,0))</f>
        <v/>
      </c>
      <c r="G41" s="24" t="n"/>
      <c r="H41" s="25">
        <f>INDEX(Clients!$H$2:$H$13,MATCH(LARGE(Clients!$K$2:$K$13,8),Clients!$K$2:$K$13,0))</f>
        <v/>
      </c>
      <c r="I41" s="24" t="n"/>
      <c r="J41" s="25">
        <f>INDEX(Clients!$I$2:$I$13,MATCH(LARGE(Clients!$K$2:$K$13,8),Clients!$K$2:$K$13,0))</f>
        <v/>
      </c>
      <c r="K41" s="28">
        <f>INDEX(Clients!$J$2:$J$13,MATCH(LARGE(Clients!$K$2:$K$13,8),Clients!$K$2:$K$13,0))</f>
        <v/>
      </c>
    </row>
  </sheetData>
  <mergeCells count="36">
    <mergeCell ref="B11:D11"/>
    <mergeCell ref="J6:L6"/>
    <mergeCell ref="H35:I35"/>
    <mergeCell ref="H38:I38"/>
    <mergeCell ref="B8:D8"/>
    <mergeCell ref="F34:G34"/>
    <mergeCell ref="B3:L3"/>
    <mergeCell ref="F8:H8"/>
    <mergeCell ref="H41:I41"/>
    <mergeCell ref="F40:G40"/>
    <mergeCell ref="H40:I40"/>
    <mergeCell ref="J11:L11"/>
    <mergeCell ref="J7:L7"/>
    <mergeCell ref="B10:D10"/>
    <mergeCell ref="H34:I34"/>
    <mergeCell ref="H39:I39"/>
    <mergeCell ref="B2:L2"/>
    <mergeCell ref="F36:G36"/>
    <mergeCell ref="H36:I36"/>
    <mergeCell ref="J12:L12"/>
    <mergeCell ref="F41:G41"/>
    <mergeCell ref="B6:D6"/>
    <mergeCell ref="F35:G35"/>
    <mergeCell ref="F38:G38"/>
    <mergeCell ref="J8:L8"/>
    <mergeCell ref="H37:I37"/>
    <mergeCell ref="B7:D7"/>
    <mergeCell ref="F11:H11"/>
    <mergeCell ref="F10:H10"/>
    <mergeCell ref="F37:G37"/>
    <mergeCell ref="F39:G39"/>
    <mergeCell ref="F6:H6"/>
    <mergeCell ref="J10:L10"/>
    <mergeCell ref="F12:H12"/>
    <mergeCell ref="F7:H7"/>
    <mergeCell ref="B12:D12"/>
  </mergeCells>
  <conditionalFormatting sqref="J34:J41">
    <cfRule type="cellIs" priority="1" operator="greaterThan" dxfId="0">
      <formula>0</formula>
    </cfRule>
  </conditionalFormatting>
  <conditionalFormatting sqref="K34:K41">
    <cfRule type="dataBar" priority="2">
      <dataBar>
        <cfvo type="num" val="0"/>
        <cfvo type="num" val="1"/>
        <color rgb="00C9A646"/>
      </dataBar>
    </cfRule>
  </conditionalFormatting>
  <conditionalFormatting sqref="C34:C38">
    <cfRule type="expression" priority="3" dxfId="1">
      <formula>$B34&lt;&gt;"Non échue"</formula>
    </cfRule>
  </conditionalFormatting>
  <pageMargins left="0.75" right="0.75" top="1" bottom="1" header="0.5" footer="0.5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0CCBE"/>
    <outlinePr summaryBelow="1" summaryRight="1"/>
    <pageSetUpPr/>
  </sheetPr>
  <dimension ref="A1:M16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30" customWidth="1" min="4" max="4"/>
    <col width="12" customWidth="1" min="5" max="5"/>
    <col width="15" customWidth="1" min="6" max="6"/>
    <col width="13" customWidth="1" min="7" max="7"/>
    <col width="15" customWidth="1" min="8" max="8"/>
    <col width="15" customWidth="1" min="9" max="9"/>
    <col width="15" customWidth="1" min="10" max="10"/>
    <col width="12" customWidth="1" min="11" max="11"/>
    <col width="10" customWidth="1" min="12" max="12"/>
    <col width="11" customWidth="1" min="13" max="13"/>
  </cols>
  <sheetData>
    <row r="1" ht="30" customHeight="1">
      <c r="A1" s="29" t="inlineStr">
        <is>
          <t>N° facture</t>
        </is>
      </c>
      <c r="B1" s="29" t="inlineStr">
        <is>
          <t>Date</t>
        </is>
      </c>
      <c r="C1" s="29" t="inlineStr">
        <is>
          <t>Code client</t>
        </is>
      </c>
      <c r="D1" s="29" t="inlineStr">
        <is>
          <t>Client</t>
        </is>
      </c>
      <c r="E1" s="29" t="inlineStr">
        <is>
          <t>Échéance</t>
        </is>
      </c>
      <c r="F1" s="29" t="inlineStr">
        <is>
          <t>Montant HT</t>
        </is>
      </c>
      <c r="G1" s="29" t="inlineStr">
        <is>
          <t>TVA</t>
        </is>
      </c>
      <c r="H1" s="29" t="inlineStr">
        <is>
          <t>Montant TTC</t>
        </is>
      </c>
      <c r="I1" s="29" t="inlineStr">
        <is>
          <t>Encaissé</t>
        </is>
      </c>
      <c r="J1" s="29" t="inlineStr">
        <is>
          <t>Solde</t>
        </is>
      </c>
      <c r="K1" s="29" t="inlineStr">
        <is>
          <t>Statut</t>
        </is>
      </c>
      <c r="L1" s="29" t="inlineStr">
        <is>
          <t>Jours de retard</t>
        </is>
      </c>
      <c r="M1" s="29" t="inlineStr">
        <is>
          <t>Tranche</t>
        </is>
      </c>
    </row>
    <row r="2">
      <c r="A2" s="30" t="inlineStr">
        <is>
          <t>FA-2026-0001</t>
        </is>
      </c>
      <c r="B2" s="31" t="n">
        <v>46027</v>
      </c>
      <c r="C2" s="30" t="inlineStr">
        <is>
          <t>C05</t>
        </is>
      </c>
      <c r="D2" s="30">
        <f>IFERROR(INDEX(Clients!$B:$B,MATCH(C2,Clients!$A:$A,0)),"Client inconnu")</f>
        <v/>
      </c>
      <c r="E2" s="31">
        <f>B2+IFERROR(INDEX(Clients!$D:$D,MATCH(C2,Clients!$A:$A,0)),30)</f>
        <v/>
      </c>
      <c r="F2" s="32">
        <f>SUMIFS(Lignes!$H:$H,Lignes!$A:$A,A2)</f>
        <v/>
      </c>
      <c r="G2" s="32">
        <f>SUMIFS(Lignes!$I:$I,Lignes!$A:$A,A2)</f>
        <v/>
      </c>
      <c r="H2" s="32">
        <f>F2+G2</f>
        <v/>
      </c>
      <c r="I2" s="32">
        <f>SUMIFS(Encaissements!$E:$E,Encaissements!$B:$B,A2)</f>
        <v/>
      </c>
      <c r="J2" s="32">
        <f>ROUND(H2-I2,2)</f>
        <v/>
      </c>
      <c r="K2" s="30">
        <f>IF(J2&lt;=0.5,"Payée",IF(DateAnalyse&gt;E2,"En retard",IF(I2&gt;0,"Partielle","À échéance")))</f>
        <v/>
      </c>
      <c r="L2" s="33">
        <f>IF(K2="En retard",DateAnalyse-E2,0)</f>
        <v/>
      </c>
      <c r="M2" s="30">
        <f>IF(J2&lt;=0.5,"Soldée",IF(L2=0,"Non échue",IF(L2&lt;=30,"1–30 j",IF(L2&lt;=60,"31–60 j",IF(L2&lt;=90,"61–90 j","&gt; 90 j")))))</f>
        <v/>
      </c>
    </row>
    <row r="3">
      <c r="A3" s="30" t="inlineStr">
        <is>
          <t>FA-2026-0002</t>
        </is>
      </c>
      <c r="B3" s="31" t="n">
        <v>46029</v>
      </c>
      <c r="C3" s="30" t="inlineStr">
        <is>
          <t>C12</t>
        </is>
      </c>
      <c r="D3" s="30">
        <f>IFERROR(INDEX(Clients!$B:$B,MATCH(C3,Clients!$A:$A,0)),"Client inconnu")</f>
        <v/>
      </c>
      <c r="E3" s="31">
        <f>B3+IFERROR(INDEX(Clients!$D:$D,MATCH(C3,Clients!$A:$A,0)),30)</f>
        <v/>
      </c>
      <c r="F3" s="32">
        <f>SUMIFS(Lignes!$H:$H,Lignes!$A:$A,A3)</f>
        <v/>
      </c>
      <c r="G3" s="32">
        <f>SUMIFS(Lignes!$I:$I,Lignes!$A:$A,A3)</f>
        <v/>
      </c>
      <c r="H3" s="32">
        <f>F3+G3</f>
        <v/>
      </c>
      <c r="I3" s="32">
        <f>SUMIFS(Encaissements!$E:$E,Encaissements!$B:$B,A3)</f>
        <v/>
      </c>
      <c r="J3" s="32">
        <f>ROUND(H3-I3,2)</f>
        <v/>
      </c>
      <c r="K3" s="30">
        <f>IF(J3&lt;=0.5,"Payée",IF(DateAnalyse&gt;E3,"En retard",IF(I3&gt;0,"Partielle","À échéance")))</f>
        <v/>
      </c>
      <c r="L3" s="33">
        <f>IF(K3="En retard",DateAnalyse-E3,0)</f>
        <v/>
      </c>
      <c r="M3" s="30">
        <f>IF(J3&lt;=0.5,"Soldée",IF(L3=0,"Non échue",IF(L3&lt;=30,"1–30 j",IF(L3&lt;=60,"31–60 j",IF(L3&lt;=90,"61–90 j","&gt; 90 j")))))</f>
        <v/>
      </c>
    </row>
    <row r="4">
      <c r="A4" s="30" t="inlineStr">
        <is>
          <t>FA-2026-0003</t>
        </is>
      </c>
      <c r="B4" s="31" t="n">
        <v>46029</v>
      </c>
      <c r="C4" s="30" t="inlineStr">
        <is>
          <t>C04</t>
        </is>
      </c>
      <c r="D4" s="30">
        <f>IFERROR(INDEX(Clients!$B:$B,MATCH(C4,Clients!$A:$A,0)),"Client inconnu")</f>
        <v/>
      </c>
      <c r="E4" s="31">
        <f>B4+IFERROR(INDEX(Clients!$D:$D,MATCH(C4,Clients!$A:$A,0)),30)</f>
        <v/>
      </c>
      <c r="F4" s="32">
        <f>SUMIFS(Lignes!$H:$H,Lignes!$A:$A,A4)</f>
        <v/>
      </c>
      <c r="G4" s="32">
        <f>SUMIFS(Lignes!$I:$I,Lignes!$A:$A,A4)</f>
        <v/>
      </c>
      <c r="H4" s="32">
        <f>F4+G4</f>
        <v/>
      </c>
      <c r="I4" s="32">
        <f>SUMIFS(Encaissements!$E:$E,Encaissements!$B:$B,A4)</f>
        <v/>
      </c>
      <c r="J4" s="32">
        <f>ROUND(H4-I4,2)</f>
        <v/>
      </c>
      <c r="K4" s="30">
        <f>IF(J4&lt;=0.5,"Payée",IF(DateAnalyse&gt;E4,"En retard",IF(I4&gt;0,"Partielle","À échéance")))</f>
        <v/>
      </c>
      <c r="L4" s="33">
        <f>IF(K4="En retard",DateAnalyse-E4,0)</f>
        <v/>
      </c>
      <c r="M4" s="30">
        <f>IF(J4&lt;=0.5,"Soldée",IF(L4=0,"Non échue",IF(L4&lt;=30,"1–30 j",IF(L4&lt;=60,"31–60 j",IF(L4&lt;=90,"61–90 j","&gt; 90 j")))))</f>
        <v/>
      </c>
    </row>
    <row r="5">
      <c r="A5" s="30" t="inlineStr">
        <is>
          <t>FA-2026-0004</t>
        </is>
      </c>
      <c r="B5" s="31" t="n">
        <v>46034</v>
      </c>
      <c r="C5" s="30" t="inlineStr">
        <is>
          <t>C04</t>
        </is>
      </c>
      <c r="D5" s="30">
        <f>IFERROR(INDEX(Clients!$B:$B,MATCH(C5,Clients!$A:$A,0)),"Client inconnu")</f>
        <v/>
      </c>
      <c r="E5" s="31">
        <f>B5+IFERROR(INDEX(Clients!$D:$D,MATCH(C5,Clients!$A:$A,0)),30)</f>
        <v/>
      </c>
      <c r="F5" s="32">
        <f>SUMIFS(Lignes!$H:$H,Lignes!$A:$A,A5)</f>
        <v/>
      </c>
      <c r="G5" s="32">
        <f>SUMIFS(Lignes!$I:$I,Lignes!$A:$A,A5)</f>
        <v/>
      </c>
      <c r="H5" s="32">
        <f>F5+G5</f>
        <v/>
      </c>
      <c r="I5" s="32">
        <f>SUMIFS(Encaissements!$E:$E,Encaissements!$B:$B,A5)</f>
        <v/>
      </c>
      <c r="J5" s="32">
        <f>ROUND(H5-I5,2)</f>
        <v/>
      </c>
      <c r="K5" s="30">
        <f>IF(J5&lt;=0.5,"Payée",IF(DateAnalyse&gt;E5,"En retard",IF(I5&gt;0,"Partielle","À échéance")))</f>
        <v/>
      </c>
      <c r="L5" s="33">
        <f>IF(K5="En retard",DateAnalyse-E5,0)</f>
        <v/>
      </c>
      <c r="M5" s="30">
        <f>IF(J5&lt;=0.5,"Soldée",IF(L5=0,"Non échue",IF(L5&lt;=30,"1–30 j",IF(L5&lt;=60,"31–60 j",IF(L5&lt;=90,"61–90 j","&gt; 90 j")))))</f>
        <v/>
      </c>
    </row>
    <row r="6">
      <c r="A6" s="30" t="inlineStr">
        <is>
          <t>FA-2026-0005</t>
        </is>
      </c>
      <c r="B6" s="31" t="n">
        <v>46035</v>
      </c>
      <c r="C6" s="30" t="inlineStr">
        <is>
          <t>C08</t>
        </is>
      </c>
      <c r="D6" s="30">
        <f>IFERROR(INDEX(Clients!$B:$B,MATCH(C6,Clients!$A:$A,0)),"Client inconnu")</f>
        <v/>
      </c>
      <c r="E6" s="31">
        <f>B6+IFERROR(INDEX(Clients!$D:$D,MATCH(C6,Clients!$A:$A,0)),30)</f>
        <v/>
      </c>
      <c r="F6" s="32">
        <f>SUMIFS(Lignes!$H:$H,Lignes!$A:$A,A6)</f>
        <v/>
      </c>
      <c r="G6" s="32">
        <f>SUMIFS(Lignes!$I:$I,Lignes!$A:$A,A6)</f>
        <v/>
      </c>
      <c r="H6" s="32">
        <f>F6+G6</f>
        <v/>
      </c>
      <c r="I6" s="32">
        <f>SUMIFS(Encaissements!$E:$E,Encaissements!$B:$B,A6)</f>
        <v/>
      </c>
      <c r="J6" s="32">
        <f>ROUND(H6-I6,2)</f>
        <v/>
      </c>
      <c r="K6" s="30">
        <f>IF(J6&lt;=0.5,"Payée",IF(DateAnalyse&gt;E6,"En retard",IF(I6&gt;0,"Partielle","À échéance")))</f>
        <v/>
      </c>
      <c r="L6" s="33">
        <f>IF(K6="En retard",DateAnalyse-E6,0)</f>
        <v/>
      </c>
      <c r="M6" s="30">
        <f>IF(J6&lt;=0.5,"Soldée",IF(L6=0,"Non échue",IF(L6&lt;=30,"1–30 j",IF(L6&lt;=60,"31–60 j",IF(L6&lt;=90,"61–90 j","&gt; 90 j")))))</f>
        <v/>
      </c>
    </row>
    <row r="7">
      <c r="A7" s="30" t="inlineStr">
        <is>
          <t>FA-2026-0006</t>
        </is>
      </c>
      <c r="B7" s="31" t="n">
        <v>46036</v>
      </c>
      <c r="C7" s="30" t="inlineStr">
        <is>
          <t>C01</t>
        </is>
      </c>
      <c r="D7" s="30">
        <f>IFERROR(INDEX(Clients!$B:$B,MATCH(C7,Clients!$A:$A,0)),"Client inconnu")</f>
        <v/>
      </c>
      <c r="E7" s="31">
        <f>B7+IFERROR(INDEX(Clients!$D:$D,MATCH(C7,Clients!$A:$A,0)),30)</f>
        <v/>
      </c>
      <c r="F7" s="32">
        <f>SUMIFS(Lignes!$H:$H,Lignes!$A:$A,A7)</f>
        <v/>
      </c>
      <c r="G7" s="32">
        <f>SUMIFS(Lignes!$I:$I,Lignes!$A:$A,A7)</f>
        <v/>
      </c>
      <c r="H7" s="32">
        <f>F7+G7</f>
        <v/>
      </c>
      <c r="I7" s="32">
        <f>SUMIFS(Encaissements!$E:$E,Encaissements!$B:$B,A7)</f>
        <v/>
      </c>
      <c r="J7" s="32">
        <f>ROUND(H7-I7,2)</f>
        <v/>
      </c>
      <c r="K7" s="30">
        <f>IF(J7&lt;=0.5,"Payée",IF(DateAnalyse&gt;E7,"En retard",IF(I7&gt;0,"Partielle","À échéance")))</f>
        <v/>
      </c>
      <c r="L7" s="33">
        <f>IF(K7="En retard",DateAnalyse-E7,0)</f>
        <v/>
      </c>
      <c r="M7" s="30">
        <f>IF(J7&lt;=0.5,"Soldée",IF(L7=0,"Non échue",IF(L7&lt;=30,"1–30 j",IF(L7&lt;=60,"31–60 j",IF(L7&lt;=90,"61–90 j","&gt; 90 j")))))</f>
        <v/>
      </c>
    </row>
    <row r="8">
      <c r="A8" s="30" t="inlineStr">
        <is>
          <t>FA-2026-0007</t>
        </is>
      </c>
      <c r="B8" s="31" t="n">
        <v>46039</v>
      </c>
      <c r="C8" s="30" t="inlineStr">
        <is>
          <t>C11</t>
        </is>
      </c>
      <c r="D8" s="30">
        <f>IFERROR(INDEX(Clients!$B:$B,MATCH(C8,Clients!$A:$A,0)),"Client inconnu")</f>
        <v/>
      </c>
      <c r="E8" s="31">
        <f>B8+IFERROR(INDEX(Clients!$D:$D,MATCH(C8,Clients!$A:$A,0)),30)</f>
        <v/>
      </c>
      <c r="F8" s="32">
        <f>SUMIFS(Lignes!$H:$H,Lignes!$A:$A,A8)</f>
        <v/>
      </c>
      <c r="G8" s="32">
        <f>SUMIFS(Lignes!$I:$I,Lignes!$A:$A,A8)</f>
        <v/>
      </c>
      <c r="H8" s="32">
        <f>F8+G8</f>
        <v/>
      </c>
      <c r="I8" s="32">
        <f>SUMIFS(Encaissements!$E:$E,Encaissements!$B:$B,A8)</f>
        <v/>
      </c>
      <c r="J8" s="32">
        <f>ROUND(H8-I8,2)</f>
        <v/>
      </c>
      <c r="K8" s="30">
        <f>IF(J8&lt;=0.5,"Payée",IF(DateAnalyse&gt;E8,"En retard",IF(I8&gt;0,"Partielle","À échéance")))</f>
        <v/>
      </c>
      <c r="L8" s="33">
        <f>IF(K8="En retard",DateAnalyse-E8,0)</f>
        <v/>
      </c>
      <c r="M8" s="30">
        <f>IF(J8&lt;=0.5,"Soldée",IF(L8=0,"Non échue",IF(L8&lt;=30,"1–30 j",IF(L8&lt;=60,"31–60 j",IF(L8&lt;=90,"61–90 j","&gt; 90 j")))))</f>
        <v/>
      </c>
    </row>
    <row r="9">
      <c r="A9" s="30" t="inlineStr">
        <is>
          <t>FA-2026-0008</t>
        </is>
      </c>
      <c r="B9" s="31" t="n">
        <v>46042</v>
      </c>
      <c r="C9" s="30" t="inlineStr">
        <is>
          <t>C08</t>
        </is>
      </c>
      <c r="D9" s="30">
        <f>IFERROR(INDEX(Clients!$B:$B,MATCH(C9,Clients!$A:$A,0)),"Client inconnu")</f>
        <v/>
      </c>
      <c r="E9" s="31">
        <f>B9+IFERROR(INDEX(Clients!$D:$D,MATCH(C9,Clients!$A:$A,0)),30)</f>
        <v/>
      </c>
      <c r="F9" s="32">
        <f>SUMIFS(Lignes!$H:$H,Lignes!$A:$A,A9)</f>
        <v/>
      </c>
      <c r="G9" s="32">
        <f>SUMIFS(Lignes!$I:$I,Lignes!$A:$A,A9)</f>
        <v/>
      </c>
      <c r="H9" s="32">
        <f>F9+G9</f>
        <v/>
      </c>
      <c r="I9" s="32">
        <f>SUMIFS(Encaissements!$E:$E,Encaissements!$B:$B,A9)</f>
        <v/>
      </c>
      <c r="J9" s="32">
        <f>ROUND(H9-I9,2)</f>
        <v/>
      </c>
      <c r="K9" s="30">
        <f>IF(J9&lt;=0.5,"Payée",IF(DateAnalyse&gt;E9,"En retard",IF(I9&gt;0,"Partielle","À échéance")))</f>
        <v/>
      </c>
      <c r="L9" s="33">
        <f>IF(K9="En retard",DateAnalyse-E9,0)</f>
        <v/>
      </c>
      <c r="M9" s="30">
        <f>IF(J9&lt;=0.5,"Soldée",IF(L9=0,"Non échue",IF(L9&lt;=30,"1–30 j",IF(L9&lt;=60,"31–60 j",IF(L9&lt;=90,"61–90 j","&gt; 90 j")))))</f>
        <v/>
      </c>
    </row>
    <row r="10">
      <c r="A10" s="30" t="inlineStr">
        <is>
          <t>FA-2026-0009</t>
        </is>
      </c>
      <c r="B10" s="31" t="n">
        <v>46042</v>
      </c>
      <c r="C10" s="30" t="inlineStr">
        <is>
          <t>C01</t>
        </is>
      </c>
      <c r="D10" s="30">
        <f>IFERROR(INDEX(Clients!$B:$B,MATCH(C10,Clients!$A:$A,0)),"Client inconnu")</f>
        <v/>
      </c>
      <c r="E10" s="31">
        <f>B10+IFERROR(INDEX(Clients!$D:$D,MATCH(C10,Clients!$A:$A,0)),30)</f>
        <v/>
      </c>
      <c r="F10" s="32">
        <f>SUMIFS(Lignes!$H:$H,Lignes!$A:$A,A10)</f>
        <v/>
      </c>
      <c r="G10" s="32">
        <f>SUMIFS(Lignes!$I:$I,Lignes!$A:$A,A10)</f>
        <v/>
      </c>
      <c r="H10" s="32">
        <f>F10+G10</f>
        <v/>
      </c>
      <c r="I10" s="32">
        <f>SUMIFS(Encaissements!$E:$E,Encaissements!$B:$B,A10)</f>
        <v/>
      </c>
      <c r="J10" s="32">
        <f>ROUND(H10-I10,2)</f>
        <v/>
      </c>
      <c r="K10" s="30">
        <f>IF(J10&lt;=0.5,"Payée",IF(DateAnalyse&gt;E10,"En retard",IF(I10&gt;0,"Partielle","À échéance")))</f>
        <v/>
      </c>
      <c r="L10" s="33">
        <f>IF(K10="En retard",DateAnalyse-E10,0)</f>
        <v/>
      </c>
      <c r="M10" s="30">
        <f>IF(J10&lt;=0.5,"Soldée",IF(L10=0,"Non échue",IF(L10&lt;=30,"1–30 j",IF(L10&lt;=60,"31–60 j",IF(L10&lt;=90,"61–90 j","&gt; 90 j")))))</f>
        <v/>
      </c>
    </row>
    <row r="11">
      <c r="A11" s="30" t="inlineStr">
        <is>
          <t>FA-2026-0010</t>
        </is>
      </c>
      <c r="B11" s="31" t="n">
        <v>46046</v>
      </c>
      <c r="C11" s="30" t="inlineStr">
        <is>
          <t>C03</t>
        </is>
      </c>
      <c r="D11" s="30">
        <f>IFERROR(INDEX(Clients!$B:$B,MATCH(C11,Clients!$A:$A,0)),"Client inconnu")</f>
        <v/>
      </c>
      <c r="E11" s="31">
        <f>B11+IFERROR(INDEX(Clients!$D:$D,MATCH(C11,Clients!$A:$A,0)),30)</f>
        <v/>
      </c>
      <c r="F11" s="32">
        <f>SUMIFS(Lignes!$H:$H,Lignes!$A:$A,A11)</f>
        <v/>
      </c>
      <c r="G11" s="32">
        <f>SUMIFS(Lignes!$I:$I,Lignes!$A:$A,A11)</f>
        <v/>
      </c>
      <c r="H11" s="32">
        <f>F11+G11</f>
        <v/>
      </c>
      <c r="I11" s="32">
        <f>SUMIFS(Encaissements!$E:$E,Encaissements!$B:$B,A11)</f>
        <v/>
      </c>
      <c r="J11" s="32">
        <f>ROUND(H11-I11,2)</f>
        <v/>
      </c>
      <c r="K11" s="30">
        <f>IF(J11&lt;=0.5,"Payée",IF(DateAnalyse&gt;E11,"En retard",IF(I11&gt;0,"Partielle","À échéance")))</f>
        <v/>
      </c>
      <c r="L11" s="33">
        <f>IF(K11="En retard",DateAnalyse-E11,0)</f>
        <v/>
      </c>
      <c r="M11" s="30">
        <f>IF(J11&lt;=0.5,"Soldée",IF(L11=0,"Non échue",IF(L11&lt;=30,"1–30 j",IF(L11&lt;=60,"31–60 j",IF(L11&lt;=90,"61–90 j","&gt; 90 j")))))</f>
        <v/>
      </c>
    </row>
    <row r="12">
      <c r="A12" s="30" t="inlineStr">
        <is>
          <t>FA-2026-0011</t>
        </is>
      </c>
      <c r="B12" s="31" t="n">
        <v>46046</v>
      </c>
      <c r="C12" s="30" t="inlineStr">
        <is>
          <t>C10</t>
        </is>
      </c>
      <c r="D12" s="30">
        <f>IFERROR(INDEX(Clients!$B:$B,MATCH(C12,Clients!$A:$A,0)),"Client inconnu")</f>
        <v/>
      </c>
      <c r="E12" s="31">
        <f>B12+IFERROR(INDEX(Clients!$D:$D,MATCH(C12,Clients!$A:$A,0)),30)</f>
        <v/>
      </c>
      <c r="F12" s="32">
        <f>SUMIFS(Lignes!$H:$H,Lignes!$A:$A,A12)</f>
        <v/>
      </c>
      <c r="G12" s="32">
        <f>SUMIFS(Lignes!$I:$I,Lignes!$A:$A,A12)</f>
        <v/>
      </c>
      <c r="H12" s="32">
        <f>F12+G12</f>
        <v/>
      </c>
      <c r="I12" s="32">
        <f>SUMIFS(Encaissements!$E:$E,Encaissements!$B:$B,A12)</f>
        <v/>
      </c>
      <c r="J12" s="32">
        <f>ROUND(H12-I12,2)</f>
        <v/>
      </c>
      <c r="K12" s="30">
        <f>IF(J12&lt;=0.5,"Payée",IF(DateAnalyse&gt;E12,"En retard",IF(I12&gt;0,"Partielle","À échéance")))</f>
        <v/>
      </c>
      <c r="L12" s="33">
        <f>IF(K12="En retard",DateAnalyse-E12,0)</f>
        <v/>
      </c>
      <c r="M12" s="30">
        <f>IF(J12&lt;=0.5,"Soldée",IF(L12=0,"Non échue",IF(L12&lt;=30,"1–30 j",IF(L12&lt;=60,"31–60 j",IF(L12&lt;=90,"61–90 j","&gt; 90 j")))))</f>
        <v/>
      </c>
    </row>
    <row r="13">
      <c r="A13" s="30" t="inlineStr">
        <is>
          <t>FA-2026-0012</t>
        </is>
      </c>
      <c r="B13" s="31" t="n">
        <v>46048</v>
      </c>
      <c r="C13" s="30" t="inlineStr">
        <is>
          <t>C06</t>
        </is>
      </c>
      <c r="D13" s="30">
        <f>IFERROR(INDEX(Clients!$B:$B,MATCH(C13,Clients!$A:$A,0)),"Client inconnu")</f>
        <v/>
      </c>
      <c r="E13" s="31">
        <f>B13+IFERROR(INDEX(Clients!$D:$D,MATCH(C13,Clients!$A:$A,0)),30)</f>
        <v/>
      </c>
      <c r="F13" s="32">
        <f>SUMIFS(Lignes!$H:$H,Lignes!$A:$A,A13)</f>
        <v/>
      </c>
      <c r="G13" s="32">
        <f>SUMIFS(Lignes!$I:$I,Lignes!$A:$A,A13)</f>
        <v/>
      </c>
      <c r="H13" s="32">
        <f>F13+G13</f>
        <v/>
      </c>
      <c r="I13" s="32">
        <f>SUMIFS(Encaissements!$E:$E,Encaissements!$B:$B,A13)</f>
        <v/>
      </c>
      <c r="J13" s="32">
        <f>ROUND(H13-I13,2)</f>
        <v/>
      </c>
      <c r="K13" s="30">
        <f>IF(J13&lt;=0.5,"Payée",IF(DateAnalyse&gt;E13,"En retard",IF(I13&gt;0,"Partielle","À échéance")))</f>
        <v/>
      </c>
      <c r="L13" s="33">
        <f>IF(K13="En retard",DateAnalyse-E13,0)</f>
        <v/>
      </c>
      <c r="M13" s="30">
        <f>IF(J13&lt;=0.5,"Soldée",IF(L13=0,"Non échue",IF(L13&lt;=30,"1–30 j",IF(L13&lt;=60,"31–60 j",IF(L13&lt;=90,"61–90 j","&gt; 90 j")))))</f>
        <v/>
      </c>
    </row>
    <row r="14">
      <c r="A14" s="30" t="inlineStr">
        <is>
          <t>FA-2026-0013</t>
        </is>
      </c>
      <c r="B14" s="31" t="n">
        <v>46049</v>
      </c>
      <c r="C14" s="30" t="inlineStr">
        <is>
          <t>C12</t>
        </is>
      </c>
      <c r="D14" s="30">
        <f>IFERROR(INDEX(Clients!$B:$B,MATCH(C14,Clients!$A:$A,0)),"Client inconnu")</f>
        <v/>
      </c>
      <c r="E14" s="31">
        <f>B14+IFERROR(INDEX(Clients!$D:$D,MATCH(C14,Clients!$A:$A,0)),30)</f>
        <v/>
      </c>
      <c r="F14" s="32">
        <f>SUMIFS(Lignes!$H:$H,Lignes!$A:$A,A14)</f>
        <v/>
      </c>
      <c r="G14" s="32">
        <f>SUMIFS(Lignes!$I:$I,Lignes!$A:$A,A14)</f>
        <v/>
      </c>
      <c r="H14" s="32">
        <f>F14+G14</f>
        <v/>
      </c>
      <c r="I14" s="32">
        <f>SUMIFS(Encaissements!$E:$E,Encaissements!$B:$B,A14)</f>
        <v/>
      </c>
      <c r="J14" s="32">
        <f>ROUND(H14-I14,2)</f>
        <v/>
      </c>
      <c r="K14" s="30">
        <f>IF(J14&lt;=0.5,"Payée",IF(DateAnalyse&gt;E14,"En retard",IF(I14&gt;0,"Partielle","À échéance")))</f>
        <v/>
      </c>
      <c r="L14" s="33">
        <f>IF(K14="En retard",DateAnalyse-E14,0)</f>
        <v/>
      </c>
      <c r="M14" s="30">
        <f>IF(J14&lt;=0.5,"Soldée",IF(L14=0,"Non échue",IF(L14&lt;=30,"1–30 j",IF(L14&lt;=60,"31–60 j",IF(L14&lt;=90,"61–90 j","&gt; 90 j")))))</f>
        <v/>
      </c>
    </row>
    <row r="15">
      <c r="A15" s="30" t="inlineStr">
        <is>
          <t>FA-2026-0014</t>
        </is>
      </c>
      <c r="B15" s="31" t="n">
        <v>46049</v>
      </c>
      <c r="C15" s="30" t="inlineStr">
        <is>
          <t>C04</t>
        </is>
      </c>
      <c r="D15" s="30">
        <f>IFERROR(INDEX(Clients!$B:$B,MATCH(C15,Clients!$A:$A,0)),"Client inconnu")</f>
        <v/>
      </c>
      <c r="E15" s="31">
        <f>B15+IFERROR(INDEX(Clients!$D:$D,MATCH(C15,Clients!$A:$A,0)),30)</f>
        <v/>
      </c>
      <c r="F15" s="32">
        <f>SUMIFS(Lignes!$H:$H,Lignes!$A:$A,A15)</f>
        <v/>
      </c>
      <c r="G15" s="32">
        <f>SUMIFS(Lignes!$I:$I,Lignes!$A:$A,A15)</f>
        <v/>
      </c>
      <c r="H15" s="32">
        <f>F15+G15</f>
        <v/>
      </c>
      <c r="I15" s="32">
        <f>SUMIFS(Encaissements!$E:$E,Encaissements!$B:$B,A15)</f>
        <v/>
      </c>
      <c r="J15" s="32">
        <f>ROUND(H15-I15,2)</f>
        <v/>
      </c>
      <c r="K15" s="30">
        <f>IF(J15&lt;=0.5,"Payée",IF(DateAnalyse&gt;E15,"En retard",IF(I15&gt;0,"Partielle","À échéance")))</f>
        <v/>
      </c>
      <c r="L15" s="33">
        <f>IF(K15="En retard",DateAnalyse-E15,0)</f>
        <v/>
      </c>
      <c r="M15" s="30">
        <f>IF(J15&lt;=0.5,"Soldée",IF(L15=0,"Non échue",IF(L15&lt;=30,"1–30 j",IF(L15&lt;=60,"31–60 j",IF(L15&lt;=90,"61–90 j","&gt; 90 j")))))</f>
        <v/>
      </c>
    </row>
    <row r="16">
      <c r="A16" s="30" t="inlineStr">
        <is>
          <t>FA-2026-0015</t>
        </is>
      </c>
      <c r="B16" s="31" t="n">
        <v>46051</v>
      </c>
      <c r="C16" s="30" t="inlineStr">
        <is>
          <t>C09</t>
        </is>
      </c>
      <c r="D16" s="30">
        <f>IFERROR(INDEX(Clients!$B:$B,MATCH(C16,Clients!$A:$A,0)),"Client inconnu")</f>
        <v/>
      </c>
      <c r="E16" s="31">
        <f>B16+IFERROR(INDEX(Clients!$D:$D,MATCH(C16,Clients!$A:$A,0)),30)</f>
        <v/>
      </c>
      <c r="F16" s="32">
        <f>SUMIFS(Lignes!$H:$H,Lignes!$A:$A,A16)</f>
        <v/>
      </c>
      <c r="G16" s="32">
        <f>SUMIFS(Lignes!$I:$I,Lignes!$A:$A,A16)</f>
        <v/>
      </c>
      <c r="H16" s="32">
        <f>F16+G16</f>
        <v/>
      </c>
      <c r="I16" s="32">
        <f>SUMIFS(Encaissements!$E:$E,Encaissements!$B:$B,A16)</f>
        <v/>
      </c>
      <c r="J16" s="32">
        <f>ROUND(H16-I16,2)</f>
        <v/>
      </c>
      <c r="K16" s="30">
        <f>IF(J16&lt;=0.5,"Payée",IF(DateAnalyse&gt;E16,"En retard",IF(I16&gt;0,"Partielle","À échéance")))</f>
        <v/>
      </c>
      <c r="L16" s="33">
        <f>IF(K16="En retard",DateAnalyse-E16,0)</f>
        <v/>
      </c>
      <c r="M16" s="30">
        <f>IF(J16&lt;=0.5,"Soldée",IF(L16=0,"Non échue",IF(L16&lt;=30,"1–30 j",IF(L16&lt;=60,"31–60 j",IF(L16&lt;=90,"61–90 j","&gt; 90 j")))))</f>
        <v/>
      </c>
    </row>
    <row r="17">
      <c r="A17" s="30" t="inlineStr">
        <is>
          <t>FA-2026-0016</t>
        </is>
      </c>
      <c r="B17" s="31" t="n">
        <v>46051</v>
      </c>
      <c r="C17" s="30" t="inlineStr">
        <is>
          <t>C02</t>
        </is>
      </c>
      <c r="D17" s="30">
        <f>IFERROR(INDEX(Clients!$B:$B,MATCH(C17,Clients!$A:$A,0)),"Client inconnu")</f>
        <v/>
      </c>
      <c r="E17" s="31">
        <f>B17+IFERROR(INDEX(Clients!$D:$D,MATCH(C17,Clients!$A:$A,0)),30)</f>
        <v/>
      </c>
      <c r="F17" s="32">
        <f>SUMIFS(Lignes!$H:$H,Lignes!$A:$A,A17)</f>
        <v/>
      </c>
      <c r="G17" s="32">
        <f>SUMIFS(Lignes!$I:$I,Lignes!$A:$A,A17)</f>
        <v/>
      </c>
      <c r="H17" s="32">
        <f>F17+G17</f>
        <v/>
      </c>
      <c r="I17" s="32">
        <f>SUMIFS(Encaissements!$E:$E,Encaissements!$B:$B,A17)</f>
        <v/>
      </c>
      <c r="J17" s="32">
        <f>ROUND(H17-I17,2)</f>
        <v/>
      </c>
      <c r="K17" s="30">
        <f>IF(J17&lt;=0.5,"Payée",IF(DateAnalyse&gt;E17,"En retard",IF(I17&gt;0,"Partielle","À échéance")))</f>
        <v/>
      </c>
      <c r="L17" s="33">
        <f>IF(K17="En retard",DateAnalyse-E17,0)</f>
        <v/>
      </c>
      <c r="M17" s="30">
        <f>IF(J17&lt;=0.5,"Soldée",IF(L17=0,"Non échue",IF(L17&lt;=30,"1–30 j",IF(L17&lt;=60,"31–60 j",IF(L17&lt;=90,"61–90 j","&gt; 90 j")))))</f>
        <v/>
      </c>
    </row>
    <row r="18">
      <c r="A18" s="30" t="inlineStr">
        <is>
          <t>FA-2026-0017</t>
        </is>
      </c>
      <c r="B18" s="31" t="n">
        <v>46054</v>
      </c>
      <c r="C18" s="30" t="inlineStr">
        <is>
          <t>C10</t>
        </is>
      </c>
      <c r="D18" s="30">
        <f>IFERROR(INDEX(Clients!$B:$B,MATCH(C18,Clients!$A:$A,0)),"Client inconnu")</f>
        <v/>
      </c>
      <c r="E18" s="31">
        <f>B18+IFERROR(INDEX(Clients!$D:$D,MATCH(C18,Clients!$A:$A,0)),30)</f>
        <v/>
      </c>
      <c r="F18" s="32">
        <f>SUMIFS(Lignes!$H:$H,Lignes!$A:$A,A18)</f>
        <v/>
      </c>
      <c r="G18" s="32">
        <f>SUMIFS(Lignes!$I:$I,Lignes!$A:$A,A18)</f>
        <v/>
      </c>
      <c r="H18" s="32">
        <f>F18+G18</f>
        <v/>
      </c>
      <c r="I18" s="32">
        <f>SUMIFS(Encaissements!$E:$E,Encaissements!$B:$B,A18)</f>
        <v/>
      </c>
      <c r="J18" s="32">
        <f>ROUND(H18-I18,2)</f>
        <v/>
      </c>
      <c r="K18" s="30">
        <f>IF(J18&lt;=0.5,"Payée",IF(DateAnalyse&gt;E18,"En retard",IF(I18&gt;0,"Partielle","À échéance")))</f>
        <v/>
      </c>
      <c r="L18" s="33">
        <f>IF(K18="En retard",DateAnalyse-E18,0)</f>
        <v/>
      </c>
      <c r="M18" s="30">
        <f>IF(J18&lt;=0.5,"Soldée",IF(L18=0,"Non échue",IF(L18&lt;=30,"1–30 j",IF(L18&lt;=60,"31–60 j",IF(L18&lt;=90,"61–90 j","&gt; 90 j")))))</f>
        <v/>
      </c>
    </row>
    <row r="19">
      <c r="A19" s="30" t="inlineStr">
        <is>
          <t>FA-2026-0018</t>
        </is>
      </c>
      <c r="B19" s="31" t="n">
        <v>46055</v>
      </c>
      <c r="C19" s="30" t="inlineStr">
        <is>
          <t>C08</t>
        </is>
      </c>
      <c r="D19" s="30">
        <f>IFERROR(INDEX(Clients!$B:$B,MATCH(C19,Clients!$A:$A,0)),"Client inconnu")</f>
        <v/>
      </c>
      <c r="E19" s="31">
        <f>B19+IFERROR(INDEX(Clients!$D:$D,MATCH(C19,Clients!$A:$A,0)),30)</f>
        <v/>
      </c>
      <c r="F19" s="32">
        <f>SUMIFS(Lignes!$H:$H,Lignes!$A:$A,A19)</f>
        <v/>
      </c>
      <c r="G19" s="32">
        <f>SUMIFS(Lignes!$I:$I,Lignes!$A:$A,A19)</f>
        <v/>
      </c>
      <c r="H19" s="32">
        <f>F19+G19</f>
        <v/>
      </c>
      <c r="I19" s="32">
        <f>SUMIFS(Encaissements!$E:$E,Encaissements!$B:$B,A19)</f>
        <v/>
      </c>
      <c r="J19" s="32">
        <f>ROUND(H19-I19,2)</f>
        <v/>
      </c>
      <c r="K19" s="30">
        <f>IF(J19&lt;=0.5,"Payée",IF(DateAnalyse&gt;E19,"En retard",IF(I19&gt;0,"Partielle","À échéance")))</f>
        <v/>
      </c>
      <c r="L19" s="33">
        <f>IF(K19="En retard",DateAnalyse-E19,0)</f>
        <v/>
      </c>
      <c r="M19" s="30">
        <f>IF(J19&lt;=0.5,"Soldée",IF(L19=0,"Non échue",IF(L19&lt;=30,"1–30 j",IF(L19&lt;=60,"31–60 j",IF(L19&lt;=90,"61–90 j","&gt; 90 j")))))</f>
        <v/>
      </c>
    </row>
    <row r="20">
      <c r="A20" s="30" t="inlineStr">
        <is>
          <t>FA-2026-0019</t>
        </is>
      </c>
      <c r="B20" s="31" t="n">
        <v>46057</v>
      </c>
      <c r="C20" s="30" t="inlineStr">
        <is>
          <t>C06</t>
        </is>
      </c>
      <c r="D20" s="30">
        <f>IFERROR(INDEX(Clients!$B:$B,MATCH(C20,Clients!$A:$A,0)),"Client inconnu")</f>
        <v/>
      </c>
      <c r="E20" s="31">
        <f>B20+IFERROR(INDEX(Clients!$D:$D,MATCH(C20,Clients!$A:$A,0)),30)</f>
        <v/>
      </c>
      <c r="F20" s="32">
        <f>SUMIFS(Lignes!$H:$H,Lignes!$A:$A,A20)</f>
        <v/>
      </c>
      <c r="G20" s="32">
        <f>SUMIFS(Lignes!$I:$I,Lignes!$A:$A,A20)</f>
        <v/>
      </c>
      <c r="H20" s="32">
        <f>F20+G20</f>
        <v/>
      </c>
      <c r="I20" s="32">
        <f>SUMIFS(Encaissements!$E:$E,Encaissements!$B:$B,A20)</f>
        <v/>
      </c>
      <c r="J20" s="32">
        <f>ROUND(H20-I20,2)</f>
        <v/>
      </c>
      <c r="K20" s="30">
        <f>IF(J20&lt;=0.5,"Payée",IF(DateAnalyse&gt;E20,"En retard",IF(I20&gt;0,"Partielle","À échéance")))</f>
        <v/>
      </c>
      <c r="L20" s="33">
        <f>IF(K20="En retard",DateAnalyse-E20,0)</f>
        <v/>
      </c>
      <c r="M20" s="30">
        <f>IF(J20&lt;=0.5,"Soldée",IF(L20=0,"Non échue",IF(L20&lt;=30,"1–30 j",IF(L20&lt;=60,"31–60 j",IF(L20&lt;=90,"61–90 j","&gt; 90 j")))))</f>
        <v/>
      </c>
    </row>
    <row r="21">
      <c r="A21" s="30" t="inlineStr">
        <is>
          <t>FA-2026-0020</t>
        </is>
      </c>
      <c r="B21" s="31" t="n">
        <v>46060</v>
      </c>
      <c r="C21" s="30" t="inlineStr">
        <is>
          <t>C09</t>
        </is>
      </c>
      <c r="D21" s="30">
        <f>IFERROR(INDEX(Clients!$B:$B,MATCH(C21,Clients!$A:$A,0)),"Client inconnu")</f>
        <v/>
      </c>
      <c r="E21" s="31">
        <f>B21+IFERROR(INDEX(Clients!$D:$D,MATCH(C21,Clients!$A:$A,0)),30)</f>
        <v/>
      </c>
      <c r="F21" s="32">
        <f>SUMIFS(Lignes!$H:$H,Lignes!$A:$A,A21)</f>
        <v/>
      </c>
      <c r="G21" s="32">
        <f>SUMIFS(Lignes!$I:$I,Lignes!$A:$A,A21)</f>
        <v/>
      </c>
      <c r="H21" s="32">
        <f>F21+G21</f>
        <v/>
      </c>
      <c r="I21" s="32">
        <f>SUMIFS(Encaissements!$E:$E,Encaissements!$B:$B,A21)</f>
        <v/>
      </c>
      <c r="J21" s="32">
        <f>ROUND(H21-I21,2)</f>
        <v/>
      </c>
      <c r="K21" s="30">
        <f>IF(J21&lt;=0.5,"Payée",IF(DateAnalyse&gt;E21,"En retard",IF(I21&gt;0,"Partielle","À échéance")))</f>
        <v/>
      </c>
      <c r="L21" s="33">
        <f>IF(K21="En retard",DateAnalyse-E21,0)</f>
        <v/>
      </c>
      <c r="M21" s="30">
        <f>IF(J21&lt;=0.5,"Soldée",IF(L21=0,"Non échue",IF(L21&lt;=30,"1–30 j",IF(L21&lt;=60,"31–60 j",IF(L21&lt;=90,"61–90 j","&gt; 90 j")))))</f>
        <v/>
      </c>
    </row>
    <row r="22">
      <c r="A22" s="30" t="inlineStr">
        <is>
          <t>FA-2026-0021</t>
        </is>
      </c>
      <c r="B22" s="31" t="n">
        <v>46062</v>
      </c>
      <c r="C22" s="30" t="inlineStr">
        <is>
          <t>C06</t>
        </is>
      </c>
      <c r="D22" s="30">
        <f>IFERROR(INDEX(Clients!$B:$B,MATCH(C22,Clients!$A:$A,0)),"Client inconnu")</f>
        <v/>
      </c>
      <c r="E22" s="31">
        <f>B22+IFERROR(INDEX(Clients!$D:$D,MATCH(C22,Clients!$A:$A,0)),30)</f>
        <v/>
      </c>
      <c r="F22" s="32">
        <f>SUMIFS(Lignes!$H:$H,Lignes!$A:$A,A22)</f>
        <v/>
      </c>
      <c r="G22" s="32">
        <f>SUMIFS(Lignes!$I:$I,Lignes!$A:$A,A22)</f>
        <v/>
      </c>
      <c r="H22" s="32">
        <f>F22+G22</f>
        <v/>
      </c>
      <c r="I22" s="32">
        <f>SUMIFS(Encaissements!$E:$E,Encaissements!$B:$B,A22)</f>
        <v/>
      </c>
      <c r="J22" s="32">
        <f>ROUND(H22-I22,2)</f>
        <v/>
      </c>
      <c r="K22" s="30">
        <f>IF(J22&lt;=0.5,"Payée",IF(DateAnalyse&gt;E22,"En retard",IF(I22&gt;0,"Partielle","À échéance")))</f>
        <v/>
      </c>
      <c r="L22" s="33">
        <f>IF(K22="En retard",DateAnalyse-E22,0)</f>
        <v/>
      </c>
      <c r="M22" s="30">
        <f>IF(J22&lt;=0.5,"Soldée",IF(L22=0,"Non échue",IF(L22&lt;=30,"1–30 j",IF(L22&lt;=60,"31–60 j",IF(L22&lt;=90,"61–90 j","&gt; 90 j")))))</f>
        <v/>
      </c>
    </row>
    <row r="23">
      <c r="A23" s="30" t="inlineStr">
        <is>
          <t>FA-2026-0022</t>
        </is>
      </c>
      <c r="B23" s="31" t="n">
        <v>46065</v>
      </c>
      <c r="C23" s="30" t="inlineStr">
        <is>
          <t>C01</t>
        </is>
      </c>
      <c r="D23" s="30">
        <f>IFERROR(INDEX(Clients!$B:$B,MATCH(C23,Clients!$A:$A,0)),"Client inconnu")</f>
        <v/>
      </c>
      <c r="E23" s="31">
        <f>B23+IFERROR(INDEX(Clients!$D:$D,MATCH(C23,Clients!$A:$A,0)),30)</f>
        <v/>
      </c>
      <c r="F23" s="32">
        <f>SUMIFS(Lignes!$H:$H,Lignes!$A:$A,A23)</f>
        <v/>
      </c>
      <c r="G23" s="32">
        <f>SUMIFS(Lignes!$I:$I,Lignes!$A:$A,A23)</f>
        <v/>
      </c>
      <c r="H23" s="32">
        <f>F23+G23</f>
        <v/>
      </c>
      <c r="I23" s="32">
        <f>SUMIFS(Encaissements!$E:$E,Encaissements!$B:$B,A23)</f>
        <v/>
      </c>
      <c r="J23" s="32">
        <f>ROUND(H23-I23,2)</f>
        <v/>
      </c>
      <c r="K23" s="30">
        <f>IF(J23&lt;=0.5,"Payée",IF(DateAnalyse&gt;E23,"En retard",IF(I23&gt;0,"Partielle","À échéance")))</f>
        <v/>
      </c>
      <c r="L23" s="33">
        <f>IF(K23="En retard",DateAnalyse-E23,0)</f>
        <v/>
      </c>
      <c r="M23" s="30">
        <f>IF(J23&lt;=0.5,"Soldée",IF(L23=0,"Non échue",IF(L23&lt;=30,"1–30 j",IF(L23&lt;=60,"31–60 j",IF(L23&lt;=90,"61–90 j","&gt; 90 j")))))</f>
        <v/>
      </c>
    </row>
    <row r="24">
      <c r="A24" s="30" t="inlineStr">
        <is>
          <t>FA-2026-0023</t>
        </is>
      </c>
      <c r="B24" s="31" t="n">
        <v>46068</v>
      </c>
      <c r="C24" s="30" t="inlineStr">
        <is>
          <t>C06</t>
        </is>
      </c>
      <c r="D24" s="30">
        <f>IFERROR(INDEX(Clients!$B:$B,MATCH(C24,Clients!$A:$A,0)),"Client inconnu")</f>
        <v/>
      </c>
      <c r="E24" s="31">
        <f>B24+IFERROR(INDEX(Clients!$D:$D,MATCH(C24,Clients!$A:$A,0)),30)</f>
        <v/>
      </c>
      <c r="F24" s="32">
        <f>SUMIFS(Lignes!$H:$H,Lignes!$A:$A,A24)</f>
        <v/>
      </c>
      <c r="G24" s="32">
        <f>SUMIFS(Lignes!$I:$I,Lignes!$A:$A,A24)</f>
        <v/>
      </c>
      <c r="H24" s="32">
        <f>F24+G24</f>
        <v/>
      </c>
      <c r="I24" s="32">
        <f>SUMIFS(Encaissements!$E:$E,Encaissements!$B:$B,A24)</f>
        <v/>
      </c>
      <c r="J24" s="32">
        <f>ROUND(H24-I24,2)</f>
        <v/>
      </c>
      <c r="K24" s="30">
        <f>IF(J24&lt;=0.5,"Payée",IF(DateAnalyse&gt;E24,"En retard",IF(I24&gt;0,"Partielle","À échéance")))</f>
        <v/>
      </c>
      <c r="L24" s="33">
        <f>IF(K24="En retard",DateAnalyse-E24,0)</f>
        <v/>
      </c>
      <c r="M24" s="30">
        <f>IF(J24&lt;=0.5,"Soldée",IF(L24=0,"Non échue",IF(L24&lt;=30,"1–30 j",IF(L24&lt;=60,"31–60 j",IF(L24&lt;=90,"61–90 j","&gt; 90 j")))))</f>
        <v/>
      </c>
    </row>
    <row r="25">
      <c r="A25" s="30" t="inlineStr">
        <is>
          <t>FA-2026-0024</t>
        </is>
      </c>
      <c r="B25" s="31" t="n">
        <v>46070</v>
      </c>
      <c r="C25" s="30" t="inlineStr">
        <is>
          <t>C06</t>
        </is>
      </c>
      <c r="D25" s="30">
        <f>IFERROR(INDEX(Clients!$B:$B,MATCH(C25,Clients!$A:$A,0)),"Client inconnu")</f>
        <v/>
      </c>
      <c r="E25" s="31">
        <f>B25+IFERROR(INDEX(Clients!$D:$D,MATCH(C25,Clients!$A:$A,0)),30)</f>
        <v/>
      </c>
      <c r="F25" s="32">
        <f>SUMIFS(Lignes!$H:$H,Lignes!$A:$A,A25)</f>
        <v/>
      </c>
      <c r="G25" s="32">
        <f>SUMIFS(Lignes!$I:$I,Lignes!$A:$A,A25)</f>
        <v/>
      </c>
      <c r="H25" s="32">
        <f>F25+G25</f>
        <v/>
      </c>
      <c r="I25" s="32">
        <f>SUMIFS(Encaissements!$E:$E,Encaissements!$B:$B,A25)</f>
        <v/>
      </c>
      <c r="J25" s="32">
        <f>ROUND(H25-I25,2)</f>
        <v/>
      </c>
      <c r="K25" s="30">
        <f>IF(J25&lt;=0.5,"Payée",IF(DateAnalyse&gt;E25,"En retard",IF(I25&gt;0,"Partielle","À échéance")))</f>
        <v/>
      </c>
      <c r="L25" s="33">
        <f>IF(K25="En retard",DateAnalyse-E25,0)</f>
        <v/>
      </c>
      <c r="M25" s="30">
        <f>IF(J25&lt;=0.5,"Soldée",IF(L25=0,"Non échue",IF(L25&lt;=30,"1–30 j",IF(L25&lt;=60,"31–60 j",IF(L25&lt;=90,"61–90 j","&gt; 90 j")))))</f>
        <v/>
      </c>
    </row>
    <row r="26">
      <c r="A26" s="30" t="inlineStr">
        <is>
          <t>FA-2026-0025</t>
        </is>
      </c>
      <c r="B26" s="31" t="n">
        <v>46072</v>
      </c>
      <c r="C26" s="30" t="inlineStr">
        <is>
          <t>C02</t>
        </is>
      </c>
      <c r="D26" s="30">
        <f>IFERROR(INDEX(Clients!$B:$B,MATCH(C26,Clients!$A:$A,0)),"Client inconnu")</f>
        <v/>
      </c>
      <c r="E26" s="31">
        <f>B26+IFERROR(INDEX(Clients!$D:$D,MATCH(C26,Clients!$A:$A,0)),30)</f>
        <v/>
      </c>
      <c r="F26" s="32">
        <f>SUMIFS(Lignes!$H:$H,Lignes!$A:$A,A26)</f>
        <v/>
      </c>
      <c r="G26" s="32">
        <f>SUMIFS(Lignes!$I:$I,Lignes!$A:$A,A26)</f>
        <v/>
      </c>
      <c r="H26" s="32">
        <f>F26+G26</f>
        <v/>
      </c>
      <c r="I26" s="32">
        <f>SUMIFS(Encaissements!$E:$E,Encaissements!$B:$B,A26)</f>
        <v/>
      </c>
      <c r="J26" s="32">
        <f>ROUND(H26-I26,2)</f>
        <v/>
      </c>
      <c r="K26" s="30">
        <f>IF(J26&lt;=0.5,"Payée",IF(DateAnalyse&gt;E26,"En retard",IF(I26&gt;0,"Partielle","À échéance")))</f>
        <v/>
      </c>
      <c r="L26" s="33">
        <f>IF(K26="En retard",DateAnalyse-E26,0)</f>
        <v/>
      </c>
      <c r="M26" s="30">
        <f>IF(J26&lt;=0.5,"Soldée",IF(L26=0,"Non échue",IF(L26&lt;=30,"1–30 j",IF(L26&lt;=60,"31–60 j",IF(L26&lt;=90,"61–90 j","&gt; 90 j")))))</f>
        <v/>
      </c>
    </row>
    <row r="27">
      <c r="A27" s="30" t="inlineStr">
        <is>
          <t>FA-2026-0026</t>
        </is>
      </c>
      <c r="B27" s="31" t="n">
        <v>46074</v>
      </c>
      <c r="C27" s="30" t="inlineStr">
        <is>
          <t>C10</t>
        </is>
      </c>
      <c r="D27" s="30">
        <f>IFERROR(INDEX(Clients!$B:$B,MATCH(C27,Clients!$A:$A,0)),"Client inconnu")</f>
        <v/>
      </c>
      <c r="E27" s="31">
        <f>B27+IFERROR(INDEX(Clients!$D:$D,MATCH(C27,Clients!$A:$A,0)),30)</f>
        <v/>
      </c>
      <c r="F27" s="32">
        <f>SUMIFS(Lignes!$H:$H,Lignes!$A:$A,A27)</f>
        <v/>
      </c>
      <c r="G27" s="32">
        <f>SUMIFS(Lignes!$I:$I,Lignes!$A:$A,A27)</f>
        <v/>
      </c>
      <c r="H27" s="32">
        <f>F27+G27</f>
        <v/>
      </c>
      <c r="I27" s="32">
        <f>SUMIFS(Encaissements!$E:$E,Encaissements!$B:$B,A27)</f>
        <v/>
      </c>
      <c r="J27" s="32">
        <f>ROUND(H27-I27,2)</f>
        <v/>
      </c>
      <c r="K27" s="30">
        <f>IF(J27&lt;=0.5,"Payée",IF(DateAnalyse&gt;E27,"En retard",IF(I27&gt;0,"Partielle","À échéance")))</f>
        <v/>
      </c>
      <c r="L27" s="33">
        <f>IF(K27="En retard",DateAnalyse-E27,0)</f>
        <v/>
      </c>
      <c r="M27" s="30">
        <f>IF(J27&lt;=0.5,"Soldée",IF(L27=0,"Non échue",IF(L27&lt;=30,"1–30 j",IF(L27&lt;=60,"31–60 j",IF(L27&lt;=90,"61–90 j","&gt; 90 j")))))</f>
        <v/>
      </c>
    </row>
    <row r="28">
      <c r="A28" s="30" t="inlineStr">
        <is>
          <t>FA-2026-0027</t>
        </is>
      </c>
      <c r="B28" s="31" t="n">
        <v>46075</v>
      </c>
      <c r="C28" s="30" t="inlineStr">
        <is>
          <t>C02</t>
        </is>
      </c>
      <c r="D28" s="30">
        <f>IFERROR(INDEX(Clients!$B:$B,MATCH(C28,Clients!$A:$A,0)),"Client inconnu")</f>
        <v/>
      </c>
      <c r="E28" s="31">
        <f>B28+IFERROR(INDEX(Clients!$D:$D,MATCH(C28,Clients!$A:$A,0)),30)</f>
        <v/>
      </c>
      <c r="F28" s="32">
        <f>SUMIFS(Lignes!$H:$H,Lignes!$A:$A,A28)</f>
        <v/>
      </c>
      <c r="G28" s="32">
        <f>SUMIFS(Lignes!$I:$I,Lignes!$A:$A,A28)</f>
        <v/>
      </c>
      <c r="H28" s="32">
        <f>F28+G28</f>
        <v/>
      </c>
      <c r="I28" s="32">
        <f>SUMIFS(Encaissements!$E:$E,Encaissements!$B:$B,A28)</f>
        <v/>
      </c>
      <c r="J28" s="32">
        <f>ROUND(H28-I28,2)</f>
        <v/>
      </c>
      <c r="K28" s="30">
        <f>IF(J28&lt;=0.5,"Payée",IF(DateAnalyse&gt;E28,"En retard",IF(I28&gt;0,"Partielle","À échéance")))</f>
        <v/>
      </c>
      <c r="L28" s="33">
        <f>IF(K28="En retard",DateAnalyse-E28,0)</f>
        <v/>
      </c>
      <c r="M28" s="30">
        <f>IF(J28&lt;=0.5,"Soldée",IF(L28=0,"Non échue",IF(L28&lt;=30,"1–30 j",IF(L28&lt;=60,"31–60 j",IF(L28&lt;=90,"61–90 j","&gt; 90 j")))))</f>
        <v/>
      </c>
    </row>
    <row r="29">
      <c r="A29" s="30" t="inlineStr">
        <is>
          <t>FA-2026-0028</t>
        </is>
      </c>
      <c r="B29" s="31" t="n">
        <v>46076</v>
      </c>
      <c r="C29" s="30" t="inlineStr">
        <is>
          <t>C10</t>
        </is>
      </c>
      <c r="D29" s="30">
        <f>IFERROR(INDEX(Clients!$B:$B,MATCH(C29,Clients!$A:$A,0)),"Client inconnu")</f>
        <v/>
      </c>
      <c r="E29" s="31">
        <f>B29+IFERROR(INDEX(Clients!$D:$D,MATCH(C29,Clients!$A:$A,0)),30)</f>
        <v/>
      </c>
      <c r="F29" s="32">
        <f>SUMIFS(Lignes!$H:$H,Lignes!$A:$A,A29)</f>
        <v/>
      </c>
      <c r="G29" s="32">
        <f>SUMIFS(Lignes!$I:$I,Lignes!$A:$A,A29)</f>
        <v/>
      </c>
      <c r="H29" s="32">
        <f>F29+G29</f>
        <v/>
      </c>
      <c r="I29" s="32">
        <f>SUMIFS(Encaissements!$E:$E,Encaissements!$B:$B,A29)</f>
        <v/>
      </c>
      <c r="J29" s="32">
        <f>ROUND(H29-I29,2)</f>
        <v/>
      </c>
      <c r="K29" s="30">
        <f>IF(J29&lt;=0.5,"Payée",IF(DateAnalyse&gt;E29,"En retard",IF(I29&gt;0,"Partielle","À échéance")))</f>
        <v/>
      </c>
      <c r="L29" s="33">
        <f>IF(K29="En retard",DateAnalyse-E29,0)</f>
        <v/>
      </c>
      <c r="M29" s="30">
        <f>IF(J29&lt;=0.5,"Soldée",IF(L29=0,"Non échue",IF(L29&lt;=30,"1–30 j",IF(L29&lt;=60,"31–60 j",IF(L29&lt;=90,"61–90 j","&gt; 90 j")))))</f>
        <v/>
      </c>
    </row>
    <row r="30">
      <c r="A30" s="30" t="inlineStr">
        <is>
          <t>FA-2026-0029</t>
        </is>
      </c>
      <c r="B30" s="31" t="n">
        <v>46078</v>
      </c>
      <c r="C30" s="30" t="inlineStr">
        <is>
          <t>C06</t>
        </is>
      </c>
      <c r="D30" s="30">
        <f>IFERROR(INDEX(Clients!$B:$B,MATCH(C30,Clients!$A:$A,0)),"Client inconnu")</f>
        <v/>
      </c>
      <c r="E30" s="31">
        <f>B30+IFERROR(INDEX(Clients!$D:$D,MATCH(C30,Clients!$A:$A,0)),30)</f>
        <v/>
      </c>
      <c r="F30" s="32">
        <f>SUMIFS(Lignes!$H:$H,Lignes!$A:$A,A30)</f>
        <v/>
      </c>
      <c r="G30" s="32">
        <f>SUMIFS(Lignes!$I:$I,Lignes!$A:$A,A30)</f>
        <v/>
      </c>
      <c r="H30" s="32">
        <f>F30+G30</f>
        <v/>
      </c>
      <c r="I30" s="32">
        <f>SUMIFS(Encaissements!$E:$E,Encaissements!$B:$B,A30)</f>
        <v/>
      </c>
      <c r="J30" s="32">
        <f>ROUND(H30-I30,2)</f>
        <v/>
      </c>
      <c r="K30" s="30">
        <f>IF(J30&lt;=0.5,"Payée",IF(DateAnalyse&gt;E30,"En retard",IF(I30&gt;0,"Partielle","À échéance")))</f>
        <v/>
      </c>
      <c r="L30" s="33">
        <f>IF(K30="En retard",DateAnalyse-E30,0)</f>
        <v/>
      </c>
      <c r="M30" s="30">
        <f>IF(J30&lt;=0.5,"Soldée",IF(L30=0,"Non échue",IF(L30&lt;=30,"1–30 j",IF(L30&lt;=60,"31–60 j",IF(L30&lt;=90,"61–90 j","&gt; 90 j")))))</f>
        <v/>
      </c>
    </row>
    <row r="31">
      <c r="A31" s="30" t="inlineStr">
        <is>
          <t>FA-2026-0030</t>
        </is>
      </c>
      <c r="B31" s="31" t="n">
        <v>46079</v>
      </c>
      <c r="C31" s="30" t="inlineStr">
        <is>
          <t>C10</t>
        </is>
      </c>
      <c r="D31" s="30">
        <f>IFERROR(INDEX(Clients!$B:$B,MATCH(C31,Clients!$A:$A,0)),"Client inconnu")</f>
        <v/>
      </c>
      <c r="E31" s="31">
        <f>B31+IFERROR(INDEX(Clients!$D:$D,MATCH(C31,Clients!$A:$A,0)),30)</f>
        <v/>
      </c>
      <c r="F31" s="32">
        <f>SUMIFS(Lignes!$H:$H,Lignes!$A:$A,A31)</f>
        <v/>
      </c>
      <c r="G31" s="32">
        <f>SUMIFS(Lignes!$I:$I,Lignes!$A:$A,A31)</f>
        <v/>
      </c>
      <c r="H31" s="32">
        <f>F31+G31</f>
        <v/>
      </c>
      <c r="I31" s="32">
        <f>SUMIFS(Encaissements!$E:$E,Encaissements!$B:$B,A31)</f>
        <v/>
      </c>
      <c r="J31" s="32">
        <f>ROUND(H31-I31,2)</f>
        <v/>
      </c>
      <c r="K31" s="30">
        <f>IF(J31&lt;=0.5,"Payée",IF(DateAnalyse&gt;E31,"En retard",IF(I31&gt;0,"Partielle","À échéance")))</f>
        <v/>
      </c>
      <c r="L31" s="33">
        <f>IF(K31="En retard",DateAnalyse-E31,0)</f>
        <v/>
      </c>
      <c r="M31" s="30">
        <f>IF(J31&lt;=0.5,"Soldée",IF(L31=0,"Non échue",IF(L31&lt;=30,"1–30 j",IF(L31&lt;=60,"31–60 j",IF(L31&lt;=90,"61–90 j","&gt; 90 j")))))</f>
        <v/>
      </c>
    </row>
    <row r="32">
      <c r="A32" s="30" t="inlineStr">
        <is>
          <t>FA-2026-0031</t>
        </is>
      </c>
      <c r="B32" s="31" t="n">
        <v>46081</v>
      </c>
      <c r="C32" s="30" t="inlineStr">
        <is>
          <t>C01</t>
        </is>
      </c>
      <c r="D32" s="30">
        <f>IFERROR(INDEX(Clients!$B:$B,MATCH(C32,Clients!$A:$A,0)),"Client inconnu")</f>
        <v/>
      </c>
      <c r="E32" s="31">
        <f>B32+IFERROR(INDEX(Clients!$D:$D,MATCH(C32,Clients!$A:$A,0)),30)</f>
        <v/>
      </c>
      <c r="F32" s="32">
        <f>SUMIFS(Lignes!$H:$H,Lignes!$A:$A,A32)</f>
        <v/>
      </c>
      <c r="G32" s="32">
        <f>SUMIFS(Lignes!$I:$I,Lignes!$A:$A,A32)</f>
        <v/>
      </c>
      <c r="H32" s="32">
        <f>F32+G32</f>
        <v/>
      </c>
      <c r="I32" s="32">
        <f>SUMIFS(Encaissements!$E:$E,Encaissements!$B:$B,A32)</f>
        <v/>
      </c>
      <c r="J32" s="32">
        <f>ROUND(H32-I32,2)</f>
        <v/>
      </c>
      <c r="K32" s="30">
        <f>IF(J32&lt;=0.5,"Payée",IF(DateAnalyse&gt;E32,"En retard",IF(I32&gt;0,"Partielle","À échéance")))</f>
        <v/>
      </c>
      <c r="L32" s="33">
        <f>IF(K32="En retard",DateAnalyse-E32,0)</f>
        <v/>
      </c>
      <c r="M32" s="30">
        <f>IF(J32&lt;=0.5,"Soldée",IF(L32=0,"Non échue",IF(L32&lt;=30,"1–30 j",IF(L32&lt;=60,"31–60 j",IF(L32&lt;=90,"61–90 j","&gt; 90 j")))))</f>
        <v/>
      </c>
    </row>
    <row r="33">
      <c r="A33" s="30" t="inlineStr">
        <is>
          <t>FA-2026-0032</t>
        </is>
      </c>
      <c r="B33" s="31" t="n">
        <v>46082</v>
      </c>
      <c r="C33" s="30" t="inlineStr">
        <is>
          <t>C01</t>
        </is>
      </c>
      <c r="D33" s="30">
        <f>IFERROR(INDEX(Clients!$B:$B,MATCH(C33,Clients!$A:$A,0)),"Client inconnu")</f>
        <v/>
      </c>
      <c r="E33" s="31">
        <f>B33+IFERROR(INDEX(Clients!$D:$D,MATCH(C33,Clients!$A:$A,0)),30)</f>
        <v/>
      </c>
      <c r="F33" s="32">
        <f>SUMIFS(Lignes!$H:$H,Lignes!$A:$A,A33)</f>
        <v/>
      </c>
      <c r="G33" s="32">
        <f>SUMIFS(Lignes!$I:$I,Lignes!$A:$A,A33)</f>
        <v/>
      </c>
      <c r="H33" s="32">
        <f>F33+G33</f>
        <v/>
      </c>
      <c r="I33" s="32">
        <f>SUMIFS(Encaissements!$E:$E,Encaissements!$B:$B,A33)</f>
        <v/>
      </c>
      <c r="J33" s="32">
        <f>ROUND(H33-I33,2)</f>
        <v/>
      </c>
      <c r="K33" s="30">
        <f>IF(J33&lt;=0.5,"Payée",IF(DateAnalyse&gt;E33,"En retard",IF(I33&gt;0,"Partielle","À échéance")))</f>
        <v/>
      </c>
      <c r="L33" s="33">
        <f>IF(K33="En retard",DateAnalyse-E33,0)</f>
        <v/>
      </c>
      <c r="M33" s="30">
        <f>IF(J33&lt;=0.5,"Soldée",IF(L33=0,"Non échue",IF(L33&lt;=30,"1–30 j",IF(L33&lt;=60,"31–60 j",IF(L33&lt;=90,"61–90 j","&gt; 90 j")))))</f>
        <v/>
      </c>
    </row>
    <row r="34">
      <c r="A34" s="30" t="inlineStr">
        <is>
          <t>FA-2026-0033</t>
        </is>
      </c>
      <c r="B34" s="31" t="n">
        <v>46082</v>
      </c>
      <c r="C34" s="30" t="inlineStr">
        <is>
          <t>C09</t>
        </is>
      </c>
      <c r="D34" s="30">
        <f>IFERROR(INDEX(Clients!$B:$B,MATCH(C34,Clients!$A:$A,0)),"Client inconnu")</f>
        <v/>
      </c>
      <c r="E34" s="31">
        <f>B34+IFERROR(INDEX(Clients!$D:$D,MATCH(C34,Clients!$A:$A,0)),30)</f>
        <v/>
      </c>
      <c r="F34" s="32">
        <f>SUMIFS(Lignes!$H:$H,Lignes!$A:$A,A34)</f>
        <v/>
      </c>
      <c r="G34" s="32">
        <f>SUMIFS(Lignes!$I:$I,Lignes!$A:$A,A34)</f>
        <v/>
      </c>
      <c r="H34" s="32">
        <f>F34+G34</f>
        <v/>
      </c>
      <c r="I34" s="32">
        <f>SUMIFS(Encaissements!$E:$E,Encaissements!$B:$B,A34)</f>
        <v/>
      </c>
      <c r="J34" s="32">
        <f>ROUND(H34-I34,2)</f>
        <v/>
      </c>
      <c r="K34" s="30">
        <f>IF(J34&lt;=0.5,"Payée",IF(DateAnalyse&gt;E34,"En retard",IF(I34&gt;0,"Partielle","À échéance")))</f>
        <v/>
      </c>
      <c r="L34" s="33">
        <f>IF(K34="En retard",DateAnalyse-E34,0)</f>
        <v/>
      </c>
      <c r="M34" s="30">
        <f>IF(J34&lt;=0.5,"Soldée",IF(L34=0,"Non échue",IF(L34&lt;=30,"1–30 j",IF(L34&lt;=60,"31–60 j",IF(L34&lt;=90,"61–90 j","&gt; 90 j")))))</f>
        <v/>
      </c>
    </row>
    <row r="35">
      <c r="A35" s="30" t="inlineStr">
        <is>
          <t>FA-2026-0034</t>
        </is>
      </c>
      <c r="B35" s="31" t="n">
        <v>46084</v>
      </c>
      <c r="C35" s="30" t="inlineStr">
        <is>
          <t>C07</t>
        </is>
      </c>
      <c r="D35" s="30">
        <f>IFERROR(INDEX(Clients!$B:$B,MATCH(C35,Clients!$A:$A,0)),"Client inconnu")</f>
        <v/>
      </c>
      <c r="E35" s="31">
        <f>B35+IFERROR(INDEX(Clients!$D:$D,MATCH(C35,Clients!$A:$A,0)),30)</f>
        <v/>
      </c>
      <c r="F35" s="32">
        <f>SUMIFS(Lignes!$H:$H,Lignes!$A:$A,A35)</f>
        <v/>
      </c>
      <c r="G35" s="32">
        <f>SUMIFS(Lignes!$I:$I,Lignes!$A:$A,A35)</f>
        <v/>
      </c>
      <c r="H35" s="32">
        <f>F35+G35</f>
        <v/>
      </c>
      <c r="I35" s="32">
        <f>SUMIFS(Encaissements!$E:$E,Encaissements!$B:$B,A35)</f>
        <v/>
      </c>
      <c r="J35" s="32">
        <f>ROUND(H35-I35,2)</f>
        <v/>
      </c>
      <c r="K35" s="30">
        <f>IF(J35&lt;=0.5,"Payée",IF(DateAnalyse&gt;E35,"En retard",IF(I35&gt;0,"Partielle","À échéance")))</f>
        <v/>
      </c>
      <c r="L35" s="33">
        <f>IF(K35="En retard",DateAnalyse-E35,0)</f>
        <v/>
      </c>
      <c r="M35" s="30">
        <f>IF(J35&lt;=0.5,"Soldée",IF(L35=0,"Non échue",IF(L35&lt;=30,"1–30 j",IF(L35&lt;=60,"31–60 j",IF(L35&lt;=90,"61–90 j","&gt; 90 j")))))</f>
        <v/>
      </c>
    </row>
    <row r="36">
      <c r="A36" s="30" t="inlineStr">
        <is>
          <t>FA-2026-0035</t>
        </is>
      </c>
      <c r="B36" s="31" t="n">
        <v>46085</v>
      </c>
      <c r="C36" s="30" t="inlineStr">
        <is>
          <t>C01</t>
        </is>
      </c>
      <c r="D36" s="30">
        <f>IFERROR(INDEX(Clients!$B:$B,MATCH(C36,Clients!$A:$A,0)),"Client inconnu")</f>
        <v/>
      </c>
      <c r="E36" s="31">
        <f>B36+IFERROR(INDEX(Clients!$D:$D,MATCH(C36,Clients!$A:$A,0)),30)</f>
        <v/>
      </c>
      <c r="F36" s="32">
        <f>SUMIFS(Lignes!$H:$H,Lignes!$A:$A,A36)</f>
        <v/>
      </c>
      <c r="G36" s="32">
        <f>SUMIFS(Lignes!$I:$I,Lignes!$A:$A,A36)</f>
        <v/>
      </c>
      <c r="H36" s="32">
        <f>F36+G36</f>
        <v/>
      </c>
      <c r="I36" s="32">
        <f>SUMIFS(Encaissements!$E:$E,Encaissements!$B:$B,A36)</f>
        <v/>
      </c>
      <c r="J36" s="32">
        <f>ROUND(H36-I36,2)</f>
        <v/>
      </c>
      <c r="K36" s="30">
        <f>IF(J36&lt;=0.5,"Payée",IF(DateAnalyse&gt;E36,"En retard",IF(I36&gt;0,"Partielle","À échéance")))</f>
        <v/>
      </c>
      <c r="L36" s="33">
        <f>IF(K36="En retard",DateAnalyse-E36,0)</f>
        <v/>
      </c>
      <c r="M36" s="30">
        <f>IF(J36&lt;=0.5,"Soldée",IF(L36=0,"Non échue",IF(L36&lt;=30,"1–30 j",IF(L36&lt;=60,"31–60 j",IF(L36&lt;=90,"61–90 j","&gt; 90 j")))))</f>
        <v/>
      </c>
    </row>
    <row r="37">
      <c r="A37" s="30" t="inlineStr">
        <is>
          <t>FA-2026-0036</t>
        </is>
      </c>
      <c r="B37" s="31" t="n">
        <v>46088</v>
      </c>
      <c r="C37" s="30" t="inlineStr">
        <is>
          <t>C11</t>
        </is>
      </c>
      <c r="D37" s="30">
        <f>IFERROR(INDEX(Clients!$B:$B,MATCH(C37,Clients!$A:$A,0)),"Client inconnu")</f>
        <v/>
      </c>
      <c r="E37" s="31">
        <f>B37+IFERROR(INDEX(Clients!$D:$D,MATCH(C37,Clients!$A:$A,0)),30)</f>
        <v/>
      </c>
      <c r="F37" s="32">
        <f>SUMIFS(Lignes!$H:$H,Lignes!$A:$A,A37)</f>
        <v/>
      </c>
      <c r="G37" s="32">
        <f>SUMIFS(Lignes!$I:$I,Lignes!$A:$A,A37)</f>
        <v/>
      </c>
      <c r="H37" s="32">
        <f>F37+G37</f>
        <v/>
      </c>
      <c r="I37" s="32">
        <f>SUMIFS(Encaissements!$E:$E,Encaissements!$B:$B,A37)</f>
        <v/>
      </c>
      <c r="J37" s="32">
        <f>ROUND(H37-I37,2)</f>
        <v/>
      </c>
      <c r="K37" s="30">
        <f>IF(J37&lt;=0.5,"Payée",IF(DateAnalyse&gt;E37,"En retard",IF(I37&gt;0,"Partielle","À échéance")))</f>
        <v/>
      </c>
      <c r="L37" s="33">
        <f>IF(K37="En retard",DateAnalyse-E37,0)</f>
        <v/>
      </c>
      <c r="M37" s="30">
        <f>IF(J37&lt;=0.5,"Soldée",IF(L37=0,"Non échue",IF(L37&lt;=30,"1–30 j",IF(L37&lt;=60,"31–60 j",IF(L37&lt;=90,"61–90 j","&gt; 90 j")))))</f>
        <v/>
      </c>
    </row>
    <row r="38">
      <c r="A38" s="30" t="inlineStr">
        <is>
          <t>FA-2026-0037</t>
        </is>
      </c>
      <c r="B38" s="31" t="n">
        <v>46088</v>
      </c>
      <c r="C38" s="30" t="inlineStr">
        <is>
          <t>C06</t>
        </is>
      </c>
      <c r="D38" s="30">
        <f>IFERROR(INDEX(Clients!$B:$B,MATCH(C38,Clients!$A:$A,0)),"Client inconnu")</f>
        <v/>
      </c>
      <c r="E38" s="31">
        <f>B38+IFERROR(INDEX(Clients!$D:$D,MATCH(C38,Clients!$A:$A,0)),30)</f>
        <v/>
      </c>
      <c r="F38" s="32">
        <f>SUMIFS(Lignes!$H:$H,Lignes!$A:$A,A38)</f>
        <v/>
      </c>
      <c r="G38" s="32">
        <f>SUMIFS(Lignes!$I:$I,Lignes!$A:$A,A38)</f>
        <v/>
      </c>
      <c r="H38" s="32">
        <f>F38+G38</f>
        <v/>
      </c>
      <c r="I38" s="32">
        <f>SUMIFS(Encaissements!$E:$E,Encaissements!$B:$B,A38)</f>
        <v/>
      </c>
      <c r="J38" s="32">
        <f>ROUND(H38-I38,2)</f>
        <v/>
      </c>
      <c r="K38" s="30">
        <f>IF(J38&lt;=0.5,"Payée",IF(DateAnalyse&gt;E38,"En retard",IF(I38&gt;0,"Partielle","À échéance")))</f>
        <v/>
      </c>
      <c r="L38" s="33">
        <f>IF(K38="En retard",DateAnalyse-E38,0)</f>
        <v/>
      </c>
      <c r="M38" s="30">
        <f>IF(J38&lt;=0.5,"Soldée",IF(L38=0,"Non échue",IF(L38&lt;=30,"1–30 j",IF(L38&lt;=60,"31–60 j",IF(L38&lt;=90,"61–90 j","&gt; 90 j")))))</f>
        <v/>
      </c>
    </row>
    <row r="39">
      <c r="A39" s="30" t="inlineStr">
        <is>
          <t>FA-2026-0038</t>
        </is>
      </c>
      <c r="B39" s="31" t="n">
        <v>46089</v>
      </c>
      <c r="C39" s="30" t="inlineStr">
        <is>
          <t>C06</t>
        </is>
      </c>
      <c r="D39" s="30">
        <f>IFERROR(INDEX(Clients!$B:$B,MATCH(C39,Clients!$A:$A,0)),"Client inconnu")</f>
        <v/>
      </c>
      <c r="E39" s="31">
        <f>B39+IFERROR(INDEX(Clients!$D:$D,MATCH(C39,Clients!$A:$A,0)),30)</f>
        <v/>
      </c>
      <c r="F39" s="32">
        <f>SUMIFS(Lignes!$H:$H,Lignes!$A:$A,A39)</f>
        <v/>
      </c>
      <c r="G39" s="32">
        <f>SUMIFS(Lignes!$I:$I,Lignes!$A:$A,A39)</f>
        <v/>
      </c>
      <c r="H39" s="32">
        <f>F39+G39</f>
        <v/>
      </c>
      <c r="I39" s="32">
        <f>SUMIFS(Encaissements!$E:$E,Encaissements!$B:$B,A39)</f>
        <v/>
      </c>
      <c r="J39" s="32">
        <f>ROUND(H39-I39,2)</f>
        <v/>
      </c>
      <c r="K39" s="30">
        <f>IF(J39&lt;=0.5,"Payée",IF(DateAnalyse&gt;E39,"En retard",IF(I39&gt;0,"Partielle","À échéance")))</f>
        <v/>
      </c>
      <c r="L39" s="33">
        <f>IF(K39="En retard",DateAnalyse-E39,0)</f>
        <v/>
      </c>
      <c r="M39" s="30">
        <f>IF(J39&lt;=0.5,"Soldée",IF(L39=0,"Non échue",IF(L39&lt;=30,"1–30 j",IF(L39&lt;=60,"31–60 j",IF(L39&lt;=90,"61–90 j","&gt; 90 j")))))</f>
        <v/>
      </c>
    </row>
    <row r="40">
      <c r="A40" s="30" t="inlineStr">
        <is>
          <t>FA-2026-0039</t>
        </is>
      </c>
      <c r="B40" s="31" t="n">
        <v>46091</v>
      </c>
      <c r="C40" s="30" t="inlineStr">
        <is>
          <t>C10</t>
        </is>
      </c>
      <c r="D40" s="30">
        <f>IFERROR(INDEX(Clients!$B:$B,MATCH(C40,Clients!$A:$A,0)),"Client inconnu")</f>
        <v/>
      </c>
      <c r="E40" s="31">
        <f>B40+IFERROR(INDEX(Clients!$D:$D,MATCH(C40,Clients!$A:$A,0)),30)</f>
        <v/>
      </c>
      <c r="F40" s="32">
        <f>SUMIFS(Lignes!$H:$H,Lignes!$A:$A,A40)</f>
        <v/>
      </c>
      <c r="G40" s="32">
        <f>SUMIFS(Lignes!$I:$I,Lignes!$A:$A,A40)</f>
        <v/>
      </c>
      <c r="H40" s="32">
        <f>F40+G40</f>
        <v/>
      </c>
      <c r="I40" s="32">
        <f>SUMIFS(Encaissements!$E:$E,Encaissements!$B:$B,A40)</f>
        <v/>
      </c>
      <c r="J40" s="32">
        <f>ROUND(H40-I40,2)</f>
        <v/>
      </c>
      <c r="K40" s="30">
        <f>IF(J40&lt;=0.5,"Payée",IF(DateAnalyse&gt;E40,"En retard",IF(I40&gt;0,"Partielle","À échéance")))</f>
        <v/>
      </c>
      <c r="L40" s="33">
        <f>IF(K40="En retard",DateAnalyse-E40,0)</f>
        <v/>
      </c>
      <c r="M40" s="30">
        <f>IF(J40&lt;=0.5,"Soldée",IF(L40=0,"Non échue",IF(L40&lt;=30,"1–30 j",IF(L40&lt;=60,"31–60 j",IF(L40&lt;=90,"61–90 j","&gt; 90 j")))))</f>
        <v/>
      </c>
    </row>
    <row r="41">
      <c r="A41" s="30" t="inlineStr">
        <is>
          <t>FA-2026-0040</t>
        </is>
      </c>
      <c r="B41" s="31" t="n">
        <v>46092</v>
      </c>
      <c r="C41" s="30" t="inlineStr">
        <is>
          <t>C05</t>
        </is>
      </c>
      <c r="D41" s="30">
        <f>IFERROR(INDEX(Clients!$B:$B,MATCH(C41,Clients!$A:$A,0)),"Client inconnu")</f>
        <v/>
      </c>
      <c r="E41" s="31">
        <f>B41+IFERROR(INDEX(Clients!$D:$D,MATCH(C41,Clients!$A:$A,0)),30)</f>
        <v/>
      </c>
      <c r="F41" s="32">
        <f>SUMIFS(Lignes!$H:$H,Lignes!$A:$A,A41)</f>
        <v/>
      </c>
      <c r="G41" s="32">
        <f>SUMIFS(Lignes!$I:$I,Lignes!$A:$A,A41)</f>
        <v/>
      </c>
      <c r="H41" s="32">
        <f>F41+G41</f>
        <v/>
      </c>
      <c r="I41" s="32">
        <f>SUMIFS(Encaissements!$E:$E,Encaissements!$B:$B,A41)</f>
        <v/>
      </c>
      <c r="J41" s="32">
        <f>ROUND(H41-I41,2)</f>
        <v/>
      </c>
      <c r="K41" s="30">
        <f>IF(J41&lt;=0.5,"Payée",IF(DateAnalyse&gt;E41,"En retard",IF(I41&gt;0,"Partielle","À échéance")))</f>
        <v/>
      </c>
      <c r="L41" s="33">
        <f>IF(K41="En retard",DateAnalyse-E41,0)</f>
        <v/>
      </c>
      <c r="M41" s="30">
        <f>IF(J41&lt;=0.5,"Soldée",IF(L41=0,"Non échue",IF(L41&lt;=30,"1–30 j",IF(L41&lt;=60,"31–60 j",IF(L41&lt;=90,"61–90 j","&gt; 90 j")))))</f>
        <v/>
      </c>
    </row>
    <row r="42">
      <c r="A42" s="30" t="inlineStr">
        <is>
          <t>FA-2026-0041</t>
        </is>
      </c>
      <c r="B42" s="31" t="n">
        <v>46093</v>
      </c>
      <c r="C42" s="30" t="inlineStr">
        <is>
          <t>C01</t>
        </is>
      </c>
      <c r="D42" s="30">
        <f>IFERROR(INDEX(Clients!$B:$B,MATCH(C42,Clients!$A:$A,0)),"Client inconnu")</f>
        <v/>
      </c>
      <c r="E42" s="31">
        <f>B42+IFERROR(INDEX(Clients!$D:$D,MATCH(C42,Clients!$A:$A,0)),30)</f>
        <v/>
      </c>
      <c r="F42" s="32">
        <f>SUMIFS(Lignes!$H:$H,Lignes!$A:$A,A42)</f>
        <v/>
      </c>
      <c r="G42" s="32">
        <f>SUMIFS(Lignes!$I:$I,Lignes!$A:$A,A42)</f>
        <v/>
      </c>
      <c r="H42" s="32">
        <f>F42+G42</f>
        <v/>
      </c>
      <c r="I42" s="32">
        <f>SUMIFS(Encaissements!$E:$E,Encaissements!$B:$B,A42)</f>
        <v/>
      </c>
      <c r="J42" s="32">
        <f>ROUND(H42-I42,2)</f>
        <v/>
      </c>
      <c r="K42" s="30">
        <f>IF(J42&lt;=0.5,"Payée",IF(DateAnalyse&gt;E42,"En retard",IF(I42&gt;0,"Partielle","À échéance")))</f>
        <v/>
      </c>
      <c r="L42" s="33">
        <f>IF(K42="En retard",DateAnalyse-E42,0)</f>
        <v/>
      </c>
      <c r="M42" s="30">
        <f>IF(J42&lt;=0.5,"Soldée",IF(L42=0,"Non échue",IF(L42&lt;=30,"1–30 j",IF(L42&lt;=60,"31–60 j",IF(L42&lt;=90,"61–90 j","&gt; 90 j")))))</f>
        <v/>
      </c>
    </row>
    <row r="43">
      <c r="A43" s="30" t="inlineStr">
        <is>
          <t>FA-2026-0042</t>
        </is>
      </c>
      <c r="B43" s="31" t="n">
        <v>46096</v>
      </c>
      <c r="C43" s="30" t="inlineStr">
        <is>
          <t>C06</t>
        </is>
      </c>
      <c r="D43" s="30">
        <f>IFERROR(INDEX(Clients!$B:$B,MATCH(C43,Clients!$A:$A,0)),"Client inconnu")</f>
        <v/>
      </c>
      <c r="E43" s="31">
        <f>B43+IFERROR(INDEX(Clients!$D:$D,MATCH(C43,Clients!$A:$A,0)),30)</f>
        <v/>
      </c>
      <c r="F43" s="32">
        <f>SUMIFS(Lignes!$H:$H,Lignes!$A:$A,A43)</f>
        <v/>
      </c>
      <c r="G43" s="32">
        <f>SUMIFS(Lignes!$I:$I,Lignes!$A:$A,A43)</f>
        <v/>
      </c>
      <c r="H43" s="32">
        <f>F43+G43</f>
        <v/>
      </c>
      <c r="I43" s="32">
        <f>SUMIFS(Encaissements!$E:$E,Encaissements!$B:$B,A43)</f>
        <v/>
      </c>
      <c r="J43" s="32">
        <f>ROUND(H43-I43,2)</f>
        <v/>
      </c>
      <c r="K43" s="30">
        <f>IF(J43&lt;=0.5,"Payée",IF(DateAnalyse&gt;E43,"En retard",IF(I43&gt;0,"Partielle","À échéance")))</f>
        <v/>
      </c>
      <c r="L43" s="33">
        <f>IF(K43="En retard",DateAnalyse-E43,0)</f>
        <v/>
      </c>
      <c r="M43" s="30">
        <f>IF(J43&lt;=0.5,"Soldée",IF(L43=0,"Non échue",IF(L43&lt;=30,"1–30 j",IF(L43&lt;=60,"31–60 j",IF(L43&lt;=90,"61–90 j","&gt; 90 j")))))</f>
        <v/>
      </c>
    </row>
    <row r="44">
      <c r="A44" s="30" t="inlineStr">
        <is>
          <t>FA-2026-0043</t>
        </is>
      </c>
      <c r="B44" s="31" t="n">
        <v>46098</v>
      </c>
      <c r="C44" s="30" t="inlineStr">
        <is>
          <t>C10</t>
        </is>
      </c>
      <c r="D44" s="30">
        <f>IFERROR(INDEX(Clients!$B:$B,MATCH(C44,Clients!$A:$A,0)),"Client inconnu")</f>
        <v/>
      </c>
      <c r="E44" s="31">
        <f>B44+IFERROR(INDEX(Clients!$D:$D,MATCH(C44,Clients!$A:$A,0)),30)</f>
        <v/>
      </c>
      <c r="F44" s="32">
        <f>SUMIFS(Lignes!$H:$H,Lignes!$A:$A,A44)</f>
        <v/>
      </c>
      <c r="G44" s="32">
        <f>SUMIFS(Lignes!$I:$I,Lignes!$A:$A,A44)</f>
        <v/>
      </c>
      <c r="H44" s="32">
        <f>F44+G44</f>
        <v/>
      </c>
      <c r="I44" s="32">
        <f>SUMIFS(Encaissements!$E:$E,Encaissements!$B:$B,A44)</f>
        <v/>
      </c>
      <c r="J44" s="32">
        <f>ROUND(H44-I44,2)</f>
        <v/>
      </c>
      <c r="K44" s="30">
        <f>IF(J44&lt;=0.5,"Payée",IF(DateAnalyse&gt;E44,"En retard",IF(I44&gt;0,"Partielle","À échéance")))</f>
        <v/>
      </c>
      <c r="L44" s="33">
        <f>IF(K44="En retard",DateAnalyse-E44,0)</f>
        <v/>
      </c>
      <c r="M44" s="30">
        <f>IF(J44&lt;=0.5,"Soldée",IF(L44=0,"Non échue",IF(L44&lt;=30,"1–30 j",IF(L44&lt;=60,"31–60 j",IF(L44&lt;=90,"61–90 j","&gt; 90 j")))))</f>
        <v/>
      </c>
    </row>
    <row r="45">
      <c r="A45" s="30" t="inlineStr">
        <is>
          <t>FA-2026-0044</t>
        </is>
      </c>
      <c r="B45" s="31" t="n">
        <v>46098</v>
      </c>
      <c r="C45" s="30" t="inlineStr">
        <is>
          <t>C06</t>
        </is>
      </c>
      <c r="D45" s="30">
        <f>IFERROR(INDEX(Clients!$B:$B,MATCH(C45,Clients!$A:$A,0)),"Client inconnu")</f>
        <v/>
      </c>
      <c r="E45" s="31">
        <f>B45+IFERROR(INDEX(Clients!$D:$D,MATCH(C45,Clients!$A:$A,0)),30)</f>
        <v/>
      </c>
      <c r="F45" s="32">
        <f>SUMIFS(Lignes!$H:$H,Lignes!$A:$A,A45)</f>
        <v/>
      </c>
      <c r="G45" s="32">
        <f>SUMIFS(Lignes!$I:$I,Lignes!$A:$A,A45)</f>
        <v/>
      </c>
      <c r="H45" s="32">
        <f>F45+G45</f>
        <v/>
      </c>
      <c r="I45" s="32">
        <f>SUMIFS(Encaissements!$E:$E,Encaissements!$B:$B,A45)</f>
        <v/>
      </c>
      <c r="J45" s="32">
        <f>ROUND(H45-I45,2)</f>
        <v/>
      </c>
      <c r="K45" s="30">
        <f>IF(J45&lt;=0.5,"Payée",IF(DateAnalyse&gt;E45,"En retard",IF(I45&gt;0,"Partielle","À échéance")))</f>
        <v/>
      </c>
      <c r="L45" s="33">
        <f>IF(K45="En retard",DateAnalyse-E45,0)</f>
        <v/>
      </c>
      <c r="M45" s="30">
        <f>IF(J45&lt;=0.5,"Soldée",IF(L45=0,"Non échue",IF(L45&lt;=30,"1–30 j",IF(L45&lt;=60,"31–60 j",IF(L45&lt;=90,"61–90 j","&gt; 90 j")))))</f>
        <v/>
      </c>
    </row>
    <row r="46">
      <c r="A46" s="30" t="inlineStr">
        <is>
          <t>FA-2026-0045</t>
        </is>
      </c>
      <c r="B46" s="31" t="n">
        <v>46102</v>
      </c>
      <c r="C46" s="30" t="inlineStr">
        <is>
          <t>C06</t>
        </is>
      </c>
      <c r="D46" s="30">
        <f>IFERROR(INDEX(Clients!$B:$B,MATCH(C46,Clients!$A:$A,0)),"Client inconnu")</f>
        <v/>
      </c>
      <c r="E46" s="31">
        <f>B46+IFERROR(INDEX(Clients!$D:$D,MATCH(C46,Clients!$A:$A,0)),30)</f>
        <v/>
      </c>
      <c r="F46" s="32">
        <f>SUMIFS(Lignes!$H:$H,Lignes!$A:$A,A46)</f>
        <v/>
      </c>
      <c r="G46" s="32">
        <f>SUMIFS(Lignes!$I:$I,Lignes!$A:$A,A46)</f>
        <v/>
      </c>
      <c r="H46" s="32">
        <f>F46+G46</f>
        <v/>
      </c>
      <c r="I46" s="32">
        <f>SUMIFS(Encaissements!$E:$E,Encaissements!$B:$B,A46)</f>
        <v/>
      </c>
      <c r="J46" s="32">
        <f>ROUND(H46-I46,2)</f>
        <v/>
      </c>
      <c r="K46" s="30">
        <f>IF(J46&lt;=0.5,"Payée",IF(DateAnalyse&gt;E46,"En retard",IF(I46&gt;0,"Partielle","À échéance")))</f>
        <v/>
      </c>
      <c r="L46" s="33">
        <f>IF(K46="En retard",DateAnalyse-E46,0)</f>
        <v/>
      </c>
      <c r="M46" s="30">
        <f>IF(J46&lt;=0.5,"Soldée",IF(L46=0,"Non échue",IF(L46&lt;=30,"1–30 j",IF(L46&lt;=60,"31–60 j",IF(L46&lt;=90,"61–90 j","&gt; 90 j")))))</f>
        <v/>
      </c>
    </row>
    <row r="47">
      <c r="A47" s="30" t="inlineStr">
        <is>
          <t>FA-2026-0046</t>
        </is>
      </c>
      <c r="B47" s="31" t="n">
        <v>46105</v>
      </c>
      <c r="C47" s="30" t="inlineStr">
        <is>
          <t>C04</t>
        </is>
      </c>
      <c r="D47" s="30">
        <f>IFERROR(INDEX(Clients!$B:$B,MATCH(C47,Clients!$A:$A,0)),"Client inconnu")</f>
        <v/>
      </c>
      <c r="E47" s="31">
        <f>B47+IFERROR(INDEX(Clients!$D:$D,MATCH(C47,Clients!$A:$A,0)),30)</f>
        <v/>
      </c>
      <c r="F47" s="32">
        <f>SUMIFS(Lignes!$H:$H,Lignes!$A:$A,A47)</f>
        <v/>
      </c>
      <c r="G47" s="32">
        <f>SUMIFS(Lignes!$I:$I,Lignes!$A:$A,A47)</f>
        <v/>
      </c>
      <c r="H47" s="32">
        <f>F47+G47</f>
        <v/>
      </c>
      <c r="I47" s="32">
        <f>SUMIFS(Encaissements!$E:$E,Encaissements!$B:$B,A47)</f>
        <v/>
      </c>
      <c r="J47" s="32">
        <f>ROUND(H47-I47,2)</f>
        <v/>
      </c>
      <c r="K47" s="30">
        <f>IF(J47&lt;=0.5,"Payée",IF(DateAnalyse&gt;E47,"En retard",IF(I47&gt;0,"Partielle","À échéance")))</f>
        <v/>
      </c>
      <c r="L47" s="33">
        <f>IF(K47="En retard",DateAnalyse-E47,0)</f>
        <v/>
      </c>
      <c r="M47" s="30">
        <f>IF(J47&lt;=0.5,"Soldée",IF(L47=0,"Non échue",IF(L47&lt;=30,"1–30 j",IF(L47&lt;=60,"31–60 j",IF(L47&lt;=90,"61–90 j","&gt; 90 j")))))</f>
        <v/>
      </c>
    </row>
    <row r="48">
      <c r="A48" s="30" t="inlineStr">
        <is>
          <t>FA-2026-0047</t>
        </is>
      </c>
      <c r="B48" s="31" t="n">
        <v>46109</v>
      </c>
      <c r="C48" s="30" t="inlineStr">
        <is>
          <t>C03</t>
        </is>
      </c>
      <c r="D48" s="30">
        <f>IFERROR(INDEX(Clients!$B:$B,MATCH(C48,Clients!$A:$A,0)),"Client inconnu")</f>
        <v/>
      </c>
      <c r="E48" s="31">
        <f>B48+IFERROR(INDEX(Clients!$D:$D,MATCH(C48,Clients!$A:$A,0)),30)</f>
        <v/>
      </c>
      <c r="F48" s="32">
        <f>SUMIFS(Lignes!$H:$H,Lignes!$A:$A,A48)</f>
        <v/>
      </c>
      <c r="G48" s="32">
        <f>SUMIFS(Lignes!$I:$I,Lignes!$A:$A,A48)</f>
        <v/>
      </c>
      <c r="H48" s="32">
        <f>F48+G48</f>
        <v/>
      </c>
      <c r="I48" s="32">
        <f>SUMIFS(Encaissements!$E:$E,Encaissements!$B:$B,A48)</f>
        <v/>
      </c>
      <c r="J48" s="32">
        <f>ROUND(H48-I48,2)</f>
        <v/>
      </c>
      <c r="K48" s="30">
        <f>IF(J48&lt;=0.5,"Payée",IF(DateAnalyse&gt;E48,"En retard",IF(I48&gt;0,"Partielle","À échéance")))</f>
        <v/>
      </c>
      <c r="L48" s="33">
        <f>IF(K48="En retard",DateAnalyse-E48,0)</f>
        <v/>
      </c>
      <c r="M48" s="30">
        <f>IF(J48&lt;=0.5,"Soldée",IF(L48=0,"Non échue",IF(L48&lt;=30,"1–30 j",IF(L48&lt;=60,"31–60 j",IF(L48&lt;=90,"61–90 j","&gt; 90 j")))))</f>
        <v/>
      </c>
    </row>
    <row r="49">
      <c r="A49" s="30" t="inlineStr">
        <is>
          <t>FA-2026-0048</t>
        </is>
      </c>
      <c r="B49" s="31" t="n">
        <v>46111</v>
      </c>
      <c r="C49" s="30" t="inlineStr">
        <is>
          <t>C05</t>
        </is>
      </c>
      <c r="D49" s="30">
        <f>IFERROR(INDEX(Clients!$B:$B,MATCH(C49,Clients!$A:$A,0)),"Client inconnu")</f>
        <v/>
      </c>
      <c r="E49" s="31">
        <f>B49+IFERROR(INDEX(Clients!$D:$D,MATCH(C49,Clients!$A:$A,0)),30)</f>
        <v/>
      </c>
      <c r="F49" s="32">
        <f>SUMIFS(Lignes!$H:$H,Lignes!$A:$A,A49)</f>
        <v/>
      </c>
      <c r="G49" s="32">
        <f>SUMIFS(Lignes!$I:$I,Lignes!$A:$A,A49)</f>
        <v/>
      </c>
      <c r="H49" s="32">
        <f>F49+G49</f>
        <v/>
      </c>
      <c r="I49" s="32">
        <f>SUMIFS(Encaissements!$E:$E,Encaissements!$B:$B,A49)</f>
        <v/>
      </c>
      <c r="J49" s="32">
        <f>ROUND(H49-I49,2)</f>
        <v/>
      </c>
      <c r="K49" s="30">
        <f>IF(J49&lt;=0.5,"Payée",IF(DateAnalyse&gt;E49,"En retard",IF(I49&gt;0,"Partielle","À échéance")))</f>
        <v/>
      </c>
      <c r="L49" s="33">
        <f>IF(K49="En retard",DateAnalyse-E49,0)</f>
        <v/>
      </c>
      <c r="M49" s="30">
        <f>IF(J49&lt;=0.5,"Soldée",IF(L49=0,"Non échue",IF(L49&lt;=30,"1–30 j",IF(L49&lt;=60,"31–60 j",IF(L49&lt;=90,"61–90 j","&gt; 90 j")))))</f>
        <v/>
      </c>
    </row>
    <row r="50">
      <c r="A50" s="30" t="inlineStr">
        <is>
          <t>FA-2026-0049</t>
        </is>
      </c>
      <c r="B50" s="31" t="n">
        <v>46111</v>
      </c>
      <c r="C50" s="30" t="inlineStr">
        <is>
          <t>C02</t>
        </is>
      </c>
      <c r="D50" s="30">
        <f>IFERROR(INDEX(Clients!$B:$B,MATCH(C50,Clients!$A:$A,0)),"Client inconnu")</f>
        <v/>
      </c>
      <c r="E50" s="31">
        <f>B50+IFERROR(INDEX(Clients!$D:$D,MATCH(C50,Clients!$A:$A,0)),30)</f>
        <v/>
      </c>
      <c r="F50" s="32">
        <f>SUMIFS(Lignes!$H:$H,Lignes!$A:$A,A50)</f>
        <v/>
      </c>
      <c r="G50" s="32">
        <f>SUMIFS(Lignes!$I:$I,Lignes!$A:$A,A50)</f>
        <v/>
      </c>
      <c r="H50" s="32">
        <f>F50+G50</f>
        <v/>
      </c>
      <c r="I50" s="32">
        <f>SUMIFS(Encaissements!$E:$E,Encaissements!$B:$B,A50)</f>
        <v/>
      </c>
      <c r="J50" s="32">
        <f>ROUND(H50-I50,2)</f>
        <v/>
      </c>
      <c r="K50" s="30">
        <f>IF(J50&lt;=0.5,"Payée",IF(DateAnalyse&gt;E50,"En retard",IF(I50&gt;0,"Partielle","À échéance")))</f>
        <v/>
      </c>
      <c r="L50" s="33">
        <f>IF(K50="En retard",DateAnalyse-E50,0)</f>
        <v/>
      </c>
      <c r="M50" s="30">
        <f>IF(J50&lt;=0.5,"Soldée",IF(L50=0,"Non échue",IF(L50&lt;=30,"1–30 j",IF(L50&lt;=60,"31–60 j",IF(L50&lt;=90,"61–90 j","&gt; 90 j")))))</f>
        <v/>
      </c>
    </row>
    <row r="51">
      <c r="A51" s="30" t="inlineStr">
        <is>
          <t>FA-2026-0050</t>
        </is>
      </c>
      <c r="B51" s="31" t="n">
        <v>46113</v>
      </c>
      <c r="C51" s="30" t="inlineStr">
        <is>
          <t>C02</t>
        </is>
      </c>
      <c r="D51" s="30">
        <f>IFERROR(INDEX(Clients!$B:$B,MATCH(C51,Clients!$A:$A,0)),"Client inconnu")</f>
        <v/>
      </c>
      <c r="E51" s="31">
        <f>B51+IFERROR(INDEX(Clients!$D:$D,MATCH(C51,Clients!$A:$A,0)),30)</f>
        <v/>
      </c>
      <c r="F51" s="32">
        <f>SUMIFS(Lignes!$H:$H,Lignes!$A:$A,A51)</f>
        <v/>
      </c>
      <c r="G51" s="32">
        <f>SUMIFS(Lignes!$I:$I,Lignes!$A:$A,A51)</f>
        <v/>
      </c>
      <c r="H51" s="32">
        <f>F51+G51</f>
        <v/>
      </c>
      <c r="I51" s="32">
        <f>SUMIFS(Encaissements!$E:$E,Encaissements!$B:$B,A51)</f>
        <v/>
      </c>
      <c r="J51" s="32">
        <f>ROUND(H51-I51,2)</f>
        <v/>
      </c>
      <c r="K51" s="30">
        <f>IF(J51&lt;=0.5,"Payée",IF(DateAnalyse&gt;E51,"En retard",IF(I51&gt;0,"Partielle","À échéance")))</f>
        <v/>
      </c>
      <c r="L51" s="33">
        <f>IF(K51="En retard",DateAnalyse-E51,0)</f>
        <v/>
      </c>
      <c r="M51" s="30">
        <f>IF(J51&lt;=0.5,"Soldée",IF(L51=0,"Non échue",IF(L51&lt;=30,"1–30 j",IF(L51&lt;=60,"31–60 j",IF(L51&lt;=90,"61–90 j","&gt; 90 j")))))</f>
        <v/>
      </c>
    </row>
    <row r="52">
      <c r="A52" s="30" t="inlineStr">
        <is>
          <t>FA-2026-0051</t>
        </is>
      </c>
      <c r="B52" s="31" t="n">
        <v>46118</v>
      </c>
      <c r="C52" s="30" t="inlineStr">
        <is>
          <t>C10</t>
        </is>
      </c>
      <c r="D52" s="30">
        <f>IFERROR(INDEX(Clients!$B:$B,MATCH(C52,Clients!$A:$A,0)),"Client inconnu")</f>
        <v/>
      </c>
      <c r="E52" s="31">
        <f>B52+IFERROR(INDEX(Clients!$D:$D,MATCH(C52,Clients!$A:$A,0)),30)</f>
        <v/>
      </c>
      <c r="F52" s="32">
        <f>SUMIFS(Lignes!$H:$H,Lignes!$A:$A,A52)</f>
        <v/>
      </c>
      <c r="G52" s="32">
        <f>SUMIFS(Lignes!$I:$I,Lignes!$A:$A,A52)</f>
        <v/>
      </c>
      <c r="H52" s="32">
        <f>F52+G52</f>
        <v/>
      </c>
      <c r="I52" s="32">
        <f>SUMIFS(Encaissements!$E:$E,Encaissements!$B:$B,A52)</f>
        <v/>
      </c>
      <c r="J52" s="32">
        <f>ROUND(H52-I52,2)</f>
        <v/>
      </c>
      <c r="K52" s="30">
        <f>IF(J52&lt;=0.5,"Payée",IF(DateAnalyse&gt;E52,"En retard",IF(I52&gt;0,"Partielle","À échéance")))</f>
        <v/>
      </c>
      <c r="L52" s="33">
        <f>IF(K52="En retard",DateAnalyse-E52,0)</f>
        <v/>
      </c>
      <c r="M52" s="30">
        <f>IF(J52&lt;=0.5,"Soldée",IF(L52=0,"Non échue",IF(L52&lt;=30,"1–30 j",IF(L52&lt;=60,"31–60 j",IF(L52&lt;=90,"61–90 j","&gt; 90 j")))))</f>
        <v/>
      </c>
    </row>
    <row r="53">
      <c r="A53" s="30" t="inlineStr">
        <is>
          <t>FA-2026-0052</t>
        </is>
      </c>
      <c r="B53" s="31" t="n">
        <v>46118</v>
      </c>
      <c r="C53" s="30" t="inlineStr">
        <is>
          <t>C12</t>
        </is>
      </c>
      <c r="D53" s="30">
        <f>IFERROR(INDEX(Clients!$B:$B,MATCH(C53,Clients!$A:$A,0)),"Client inconnu")</f>
        <v/>
      </c>
      <c r="E53" s="31">
        <f>B53+IFERROR(INDEX(Clients!$D:$D,MATCH(C53,Clients!$A:$A,0)),30)</f>
        <v/>
      </c>
      <c r="F53" s="32">
        <f>SUMIFS(Lignes!$H:$H,Lignes!$A:$A,A53)</f>
        <v/>
      </c>
      <c r="G53" s="32">
        <f>SUMIFS(Lignes!$I:$I,Lignes!$A:$A,A53)</f>
        <v/>
      </c>
      <c r="H53" s="32">
        <f>F53+G53</f>
        <v/>
      </c>
      <c r="I53" s="32">
        <f>SUMIFS(Encaissements!$E:$E,Encaissements!$B:$B,A53)</f>
        <v/>
      </c>
      <c r="J53" s="32">
        <f>ROUND(H53-I53,2)</f>
        <v/>
      </c>
      <c r="K53" s="30">
        <f>IF(J53&lt;=0.5,"Payée",IF(DateAnalyse&gt;E53,"En retard",IF(I53&gt;0,"Partielle","À échéance")))</f>
        <v/>
      </c>
      <c r="L53" s="33">
        <f>IF(K53="En retard",DateAnalyse-E53,0)</f>
        <v/>
      </c>
      <c r="M53" s="30">
        <f>IF(J53&lt;=0.5,"Soldée",IF(L53=0,"Non échue",IF(L53&lt;=30,"1–30 j",IF(L53&lt;=60,"31–60 j",IF(L53&lt;=90,"61–90 j","&gt; 90 j")))))</f>
        <v/>
      </c>
    </row>
    <row r="54">
      <c r="A54" s="30" t="inlineStr">
        <is>
          <t>FA-2026-0053</t>
        </is>
      </c>
      <c r="B54" s="31" t="n">
        <v>46119</v>
      </c>
      <c r="C54" s="30" t="inlineStr">
        <is>
          <t>C04</t>
        </is>
      </c>
      <c r="D54" s="30">
        <f>IFERROR(INDEX(Clients!$B:$B,MATCH(C54,Clients!$A:$A,0)),"Client inconnu")</f>
        <v/>
      </c>
      <c r="E54" s="31">
        <f>B54+IFERROR(INDEX(Clients!$D:$D,MATCH(C54,Clients!$A:$A,0)),30)</f>
        <v/>
      </c>
      <c r="F54" s="32">
        <f>SUMIFS(Lignes!$H:$H,Lignes!$A:$A,A54)</f>
        <v/>
      </c>
      <c r="G54" s="32">
        <f>SUMIFS(Lignes!$I:$I,Lignes!$A:$A,A54)</f>
        <v/>
      </c>
      <c r="H54" s="32">
        <f>F54+G54</f>
        <v/>
      </c>
      <c r="I54" s="32">
        <f>SUMIFS(Encaissements!$E:$E,Encaissements!$B:$B,A54)</f>
        <v/>
      </c>
      <c r="J54" s="32">
        <f>ROUND(H54-I54,2)</f>
        <v/>
      </c>
      <c r="K54" s="30">
        <f>IF(J54&lt;=0.5,"Payée",IF(DateAnalyse&gt;E54,"En retard",IF(I54&gt;0,"Partielle","À échéance")))</f>
        <v/>
      </c>
      <c r="L54" s="33">
        <f>IF(K54="En retard",DateAnalyse-E54,0)</f>
        <v/>
      </c>
      <c r="M54" s="30">
        <f>IF(J54&lt;=0.5,"Soldée",IF(L54=0,"Non échue",IF(L54&lt;=30,"1–30 j",IF(L54&lt;=60,"31–60 j",IF(L54&lt;=90,"61–90 j","&gt; 90 j")))))</f>
        <v/>
      </c>
    </row>
    <row r="55">
      <c r="A55" s="30" t="inlineStr">
        <is>
          <t>FA-2026-0054</t>
        </is>
      </c>
      <c r="B55" s="31" t="n">
        <v>46121</v>
      </c>
      <c r="C55" s="30" t="inlineStr">
        <is>
          <t>C04</t>
        </is>
      </c>
      <c r="D55" s="30">
        <f>IFERROR(INDEX(Clients!$B:$B,MATCH(C55,Clients!$A:$A,0)),"Client inconnu")</f>
        <v/>
      </c>
      <c r="E55" s="31">
        <f>B55+IFERROR(INDEX(Clients!$D:$D,MATCH(C55,Clients!$A:$A,0)),30)</f>
        <v/>
      </c>
      <c r="F55" s="32">
        <f>SUMIFS(Lignes!$H:$H,Lignes!$A:$A,A55)</f>
        <v/>
      </c>
      <c r="G55" s="32">
        <f>SUMIFS(Lignes!$I:$I,Lignes!$A:$A,A55)</f>
        <v/>
      </c>
      <c r="H55" s="32">
        <f>F55+G55</f>
        <v/>
      </c>
      <c r="I55" s="32">
        <f>SUMIFS(Encaissements!$E:$E,Encaissements!$B:$B,A55)</f>
        <v/>
      </c>
      <c r="J55" s="32">
        <f>ROUND(H55-I55,2)</f>
        <v/>
      </c>
      <c r="K55" s="30">
        <f>IF(J55&lt;=0.5,"Payée",IF(DateAnalyse&gt;E55,"En retard",IF(I55&gt;0,"Partielle","À échéance")))</f>
        <v/>
      </c>
      <c r="L55" s="33">
        <f>IF(K55="En retard",DateAnalyse-E55,0)</f>
        <v/>
      </c>
      <c r="M55" s="30">
        <f>IF(J55&lt;=0.5,"Soldée",IF(L55=0,"Non échue",IF(L55&lt;=30,"1–30 j",IF(L55&lt;=60,"31–60 j",IF(L55&lt;=90,"61–90 j","&gt; 90 j")))))</f>
        <v/>
      </c>
    </row>
    <row r="56">
      <c r="A56" s="30" t="inlineStr">
        <is>
          <t>FA-2026-0055</t>
        </is>
      </c>
      <c r="B56" s="31" t="n">
        <v>46124</v>
      </c>
      <c r="C56" s="30" t="inlineStr">
        <is>
          <t>C04</t>
        </is>
      </c>
      <c r="D56" s="30">
        <f>IFERROR(INDEX(Clients!$B:$B,MATCH(C56,Clients!$A:$A,0)),"Client inconnu")</f>
        <v/>
      </c>
      <c r="E56" s="31">
        <f>B56+IFERROR(INDEX(Clients!$D:$D,MATCH(C56,Clients!$A:$A,0)),30)</f>
        <v/>
      </c>
      <c r="F56" s="32">
        <f>SUMIFS(Lignes!$H:$H,Lignes!$A:$A,A56)</f>
        <v/>
      </c>
      <c r="G56" s="32">
        <f>SUMIFS(Lignes!$I:$I,Lignes!$A:$A,A56)</f>
        <v/>
      </c>
      <c r="H56" s="32">
        <f>F56+G56</f>
        <v/>
      </c>
      <c r="I56" s="32">
        <f>SUMIFS(Encaissements!$E:$E,Encaissements!$B:$B,A56)</f>
        <v/>
      </c>
      <c r="J56" s="32">
        <f>ROUND(H56-I56,2)</f>
        <v/>
      </c>
      <c r="K56" s="30">
        <f>IF(J56&lt;=0.5,"Payée",IF(DateAnalyse&gt;E56,"En retard",IF(I56&gt;0,"Partielle","À échéance")))</f>
        <v/>
      </c>
      <c r="L56" s="33">
        <f>IF(K56="En retard",DateAnalyse-E56,0)</f>
        <v/>
      </c>
      <c r="M56" s="30">
        <f>IF(J56&lt;=0.5,"Soldée",IF(L56=0,"Non échue",IF(L56&lt;=30,"1–30 j",IF(L56&lt;=60,"31–60 j",IF(L56&lt;=90,"61–90 j","&gt; 90 j")))))</f>
        <v/>
      </c>
    </row>
    <row r="57">
      <c r="A57" s="30" t="inlineStr">
        <is>
          <t>FA-2026-0056</t>
        </is>
      </c>
      <c r="B57" s="31" t="n">
        <v>46124</v>
      </c>
      <c r="C57" s="30" t="inlineStr">
        <is>
          <t>C05</t>
        </is>
      </c>
      <c r="D57" s="30">
        <f>IFERROR(INDEX(Clients!$B:$B,MATCH(C57,Clients!$A:$A,0)),"Client inconnu")</f>
        <v/>
      </c>
      <c r="E57" s="31">
        <f>B57+IFERROR(INDEX(Clients!$D:$D,MATCH(C57,Clients!$A:$A,0)),30)</f>
        <v/>
      </c>
      <c r="F57" s="32">
        <f>SUMIFS(Lignes!$H:$H,Lignes!$A:$A,A57)</f>
        <v/>
      </c>
      <c r="G57" s="32">
        <f>SUMIFS(Lignes!$I:$I,Lignes!$A:$A,A57)</f>
        <v/>
      </c>
      <c r="H57" s="32">
        <f>F57+G57</f>
        <v/>
      </c>
      <c r="I57" s="32">
        <f>SUMIFS(Encaissements!$E:$E,Encaissements!$B:$B,A57)</f>
        <v/>
      </c>
      <c r="J57" s="32">
        <f>ROUND(H57-I57,2)</f>
        <v/>
      </c>
      <c r="K57" s="30">
        <f>IF(J57&lt;=0.5,"Payée",IF(DateAnalyse&gt;E57,"En retard",IF(I57&gt;0,"Partielle","À échéance")))</f>
        <v/>
      </c>
      <c r="L57" s="33">
        <f>IF(K57="En retard",DateAnalyse-E57,0)</f>
        <v/>
      </c>
      <c r="M57" s="30">
        <f>IF(J57&lt;=0.5,"Soldée",IF(L57=0,"Non échue",IF(L57&lt;=30,"1–30 j",IF(L57&lt;=60,"31–60 j",IF(L57&lt;=90,"61–90 j","&gt; 90 j")))))</f>
        <v/>
      </c>
    </row>
    <row r="58">
      <c r="A58" s="30" t="inlineStr">
        <is>
          <t>FA-2026-0057</t>
        </is>
      </c>
      <c r="B58" s="31" t="n">
        <v>46126</v>
      </c>
      <c r="C58" s="30" t="inlineStr">
        <is>
          <t>C06</t>
        </is>
      </c>
      <c r="D58" s="30">
        <f>IFERROR(INDEX(Clients!$B:$B,MATCH(C58,Clients!$A:$A,0)),"Client inconnu")</f>
        <v/>
      </c>
      <c r="E58" s="31">
        <f>B58+IFERROR(INDEX(Clients!$D:$D,MATCH(C58,Clients!$A:$A,0)),30)</f>
        <v/>
      </c>
      <c r="F58" s="32">
        <f>SUMIFS(Lignes!$H:$H,Lignes!$A:$A,A58)</f>
        <v/>
      </c>
      <c r="G58" s="32">
        <f>SUMIFS(Lignes!$I:$I,Lignes!$A:$A,A58)</f>
        <v/>
      </c>
      <c r="H58" s="32">
        <f>F58+G58</f>
        <v/>
      </c>
      <c r="I58" s="32">
        <f>SUMIFS(Encaissements!$E:$E,Encaissements!$B:$B,A58)</f>
        <v/>
      </c>
      <c r="J58" s="32">
        <f>ROUND(H58-I58,2)</f>
        <v/>
      </c>
      <c r="K58" s="30">
        <f>IF(J58&lt;=0.5,"Payée",IF(DateAnalyse&gt;E58,"En retard",IF(I58&gt;0,"Partielle","À échéance")))</f>
        <v/>
      </c>
      <c r="L58" s="33">
        <f>IF(K58="En retard",DateAnalyse-E58,0)</f>
        <v/>
      </c>
      <c r="M58" s="30">
        <f>IF(J58&lt;=0.5,"Soldée",IF(L58=0,"Non échue",IF(L58&lt;=30,"1–30 j",IF(L58&lt;=60,"31–60 j",IF(L58&lt;=90,"61–90 j","&gt; 90 j")))))</f>
        <v/>
      </c>
    </row>
    <row r="59">
      <c r="A59" s="30" t="inlineStr">
        <is>
          <t>FA-2026-0058</t>
        </is>
      </c>
      <c r="B59" s="31" t="n">
        <v>46128</v>
      </c>
      <c r="C59" s="30" t="inlineStr">
        <is>
          <t>C05</t>
        </is>
      </c>
      <c r="D59" s="30">
        <f>IFERROR(INDEX(Clients!$B:$B,MATCH(C59,Clients!$A:$A,0)),"Client inconnu")</f>
        <v/>
      </c>
      <c r="E59" s="31">
        <f>B59+IFERROR(INDEX(Clients!$D:$D,MATCH(C59,Clients!$A:$A,0)),30)</f>
        <v/>
      </c>
      <c r="F59" s="32">
        <f>SUMIFS(Lignes!$H:$H,Lignes!$A:$A,A59)</f>
        <v/>
      </c>
      <c r="G59" s="32">
        <f>SUMIFS(Lignes!$I:$I,Lignes!$A:$A,A59)</f>
        <v/>
      </c>
      <c r="H59" s="32">
        <f>F59+G59</f>
        <v/>
      </c>
      <c r="I59" s="32">
        <f>SUMIFS(Encaissements!$E:$E,Encaissements!$B:$B,A59)</f>
        <v/>
      </c>
      <c r="J59" s="32">
        <f>ROUND(H59-I59,2)</f>
        <v/>
      </c>
      <c r="K59" s="30">
        <f>IF(J59&lt;=0.5,"Payée",IF(DateAnalyse&gt;E59,"En retard",IF(I59&gt;0,"Partielle","À échéance")))</f>
        <v/>
      </c>
      <c r="L59" s="33">
        <f>IF(K59="En retard",DateAnalyse-E59,0)</f>
        <v/>
      </c>
      <c r="M59" s="30">
        <f>IF(J59&lt;=0.5,"Soldée",IF(L59=0,"Non échue",IF(L59&lt;=30,"1–30 j",IF(L59&lt;=60,"31–60 j",IF(L59&lt;=90,"61–90 j","&gt; 90 j")))))</f>
        <v/>
      </c>
    </row>
    <row r="60">
      <c r="A60" s="30" t="inlineStr">
        <is>
          <t>FA-2026-0059</t>
        </is>
      </c>
      <c r="B60" s="31" t="n">
        <v>46128</v>
      </c>
      <c r="C60" s="30" t="inlineStr">
        <is>
          <t>C02</t>
        </is>
      </c>
      <c r="D60" s="30">
        <f>IFERROR(INDEX(Clients!$B:$B,MATCH(C60,Clients!$A:$A,0)),"Client inconnu")</f>
        <v/>
      </c>
      <c r="E60" s="31">
        <f>B60+IFERROR(INDEX(Clients!$D:$D,MATCH(C60,Clients!$A:$A,0)),30)</f>
        <v/>
      </c>
      <c r="F60" s="32">
        <f>SUMIFS(Lignes!$H:$H,Lignes!$A:$A,A60)</f>
        <v/>
      </c>
      <c r="G60" s="32">
        <f>SUMIFS(Lignes!$I:$I,Lignes!$A:$A,A60)</f>
        <v/>
      </c>
      <c r="H60" s="32">
        <f>F60+G60</f>
        <v/>
      </c>
      <c r="I60" s="32">
        <f>SUMIFS(Encaissements!$E:$E,Encaissements!$B:$B,A60)</f>
        <v/>
      </c>
      <c r="J60" s="32">
        <f>ROUND(H60-I60,2)</f>
        <v/>
      </c>
      <c r="K60" s="30">
        <f>IF(J60&lt;=0.5,"Payée",IF(DateAnalyse&gt;E60,"En retard",IF(I60&gt;0,"Partielle","À échéance")))</f>
        <v/>
      </c>
      <c r="L60" s="33">
        <f>IF(K60="En retard",DateAnalyse-E60,0)</f>
        <v/>
      </c>
      <c r="M60" s="30">
        <f>IF(J60&lt;=0.5,"Soldée",IF(L60=0,"Non échue",IF(L60&lt;=30,"1–30 j",IF(L60&lt;=60,"31–60 j",IF(L60&lt;=90,"61–90 j","&gt; 90 j")))))</f>
        <v/>
      </c>
    </row>
    <row r="61">
      <c r="A61" s="30" t="inlineStr">
        <is>
          <t>FA-2026-0060</t>
        </is>
      </c>
      <c r="B61" s="31" t="n">
        <v>46130</v>
      </c>
      <c r="C61" s="30" t="inlineStr">
        <is>
          <t>C01</t>
        </is>
      </c>
      <c r="D61" s="30">
        <f>IFERROR(INDEX(Clients!$B:$B,MATCH(C61,Clients!$A:$A,0)),"Client inconnu")</f>
        <v/>
      </c>
      <c r="E61" s="31">
        <f>B61+IFERROR(INDEX(Clients!$D:$D,MATCH(C61,Clients!$A:$A,0)),30)</f>
        <v/>
      </c>
      <c r="F61" s="32">
        <f>SUMIFS(Lignes!$H:$H,Lignes!$A:$A,A61)</f>
        <v/>
      </c>
      <c r="G61" s="32">
        <f>SUMIFS(Lignes!$I:$I,Lignes!$A:$A,A61)</f>
        <v/>
      </c>
      <c r="H61" s="32">
        <f>F61+G61</f>
        <v/>
      </c>
      <c r="I61" s="32">
        <f>SUMIFS(Encaissements!$E:$E,Encaissements!$B:$B,A61)</f>
        <v/>
      </c>
      <c r="J61" s="32">
        <f>ROUND(H61-I61,2)</f>
        <v/>
      </c>
      <c r="K61" s="30">
        <f>IF(J61&lt;=0.5,"Payée",IF(DateAnalyse&gt;E61,"En retard",IF(I61&gt;0,"Partielle","À échéance")))</f>
        <v/>
      </c>
      <c r="L61" s="33">
        <f>IF(K61="En retard",DateAnalyse-E61,0)</f>
        <v/>
      </c>
      <c r="M61" s="30">
        <f>IF(J61&lt;=0.5,"Soldée",IF(L61=0,"Non échue",IF(L61&lt;=30,"1–30 j",IF(L61&lt;=60,"31–60 j",IF(L61&lt;=90,"61–90 j","&gt; 90 j")))))</f>
        <v/>
      </c>
    </row>
    <row r="62">
      <c r="A62" s="30" t="inlineStr">
        <is>
          <t>FA-2026-0061</t>
        </is>
      </c>
      <c r="B62" s="31" t="n">
        <v>46133</v>
      </c>
      <c r="C62" s="30" t="inlineStr">
        <is>
          <t>C06</t>
        </is>
      </c>
      <c r="D62" s="30">
        <f>IFERROR(INDEX(Clients!$B:$B,MATCH(C62,Clients!$A:$A,0)),"Client inconnu")</f>
        <v/>
      </c>
      <c r="E62" s="31">
        <f>B62+IFERROR(INDEX(Clients!$D:$D,MATCH(C62,Clients!$A:$A,0)),30)</f>
        <v/>
      </c>
      <c r="F62" s="32">
        <f>SUMIFS(Lignes!$H:$H,Lignes!$A:$A,A62)</f>
        <v/>
      </c>
      <c r="G62" s="32">
        <f>SUMIFS(Lignes!$I:$I,Lignes!$A:$A,A62)</f>
        <v/>
      </c>
      <c r="H62" s="32">
        <f>F62+G62</f>
        <v/>
      </c>
      <c r="I62" s="32">
        <f>SUMIFS(Encaissements!$E:$E,Encaissements!$B:$B,A62)</f>
        <v/>
      </c>
      <c r="J62" s="32">
        <f>ROUND(H62-I62,2)</f>
        <v/>
      </c>
      <c r="K62" s="30">
        <f>IF(J62&lt;=0.5,"Payée",IF(DateAnalyse&gt;E62,"En retard",IF(I62&gt;0,"Partielle","À échéance")))</f>
        <v/>
      </c>
      <c r="L62" s="33">
        <f>IF(K62="En retard",DateAnalyse-E62,0)</f>
        <v/>
      </c>
      <c r="M62" s="30">
        <f>IF(J62&lt;=0.5,"Soldée",IF(L62=0,"Non échue",IF(L62&lt;=30,"1–30 j",IF(L62&lt;=60,"31–60 j",IF(L62&lt;=90,"61–90 j","&gt; 90 j")))))</f>
        <v/>
      </c>
    </row>
    <row r="63">
      <c r="A63" s="30" t="inlineStr">
        <is>
          <t>FA-2026-0062</t>
        </is>
      </c>
      <c r="B63" s="31" t="n">
        <v>46138</v>
      </c>
      <c r="C63" s="30" t="inlineStr">
        <is>
          <t>C10</t>
        </is>
      </c>
      <c r="D63" s="30">
        <f>IFERROR(INDEX(Clients!$B:$B,MATCH(C63,Clients!$A:$A,0)),"Client inconnu")</f>
        <v/>
      </c>
      <c r="E63" s="31">
        <f>B63+IFERROR(INDEX(Clients!$D:$D,MATCH(C63,Clients!$A:$A,0)),30)</f>
        <v/>
      </c>
      <c r="F63" s="32">
        <f>SUMIFS(Lignes!$H:$H,Lignes!$A:$A,A63)</f>
        <v/>
      </c>
      <c r="G63" s="32">
        <f>SUMIFS(Lignes!$I:$I,Lignes!$A:$A,A63)</f>
        <v/>
      </c>
      <c r="H63" s="32">
        <f>F63+G63</f>
        <v/>
      </c>
      <c r="I63" s="32">
        <f>SUMIFS(Encaissements!$E:$E,Encaissements!$B:$B,A63)</f>
        <v/>
      </c>
      <c r="J63" s="32">
        <f>ROUND(H63-I63,2)</f>
        <v/>
      </c>
      <c r="K63" s="30">
        <f>IF(J63&lt;=0.5,"Payée",IF(DateAnalyse&gt;E63,"En retard",IF(I63&gt;0,"Partielle","À échéance")))</f>
        <v/>
      </c>
      <c r="L63" s="33">
        <f>IF(K63="En retard",DateAnalyse-E63,0)</f>
        <v/>
      </c>
      <c r="M63" s="30">
        <f>IF(J63&lt;=0.5,"Soldée",IF(L63=0,"Non échue",IF(L63&lt;=30,"1–30 j",IF(L63&lt;=60,"31–60 j",IF(L63&lt;=90,"61–90 j","&gt; 90 j")))))</f>
        <v/>
      </c>
    </row>
    <row r="64">
      <c r="A64" s="30" t="inlineStr">
        <is>
          <t>FA-2026-0063</t>
        </is>
      </c>
      <c r="B64" s="31" t="n">
        <v>46139</v>
      </c>
      <c r="C64" s="30" t="inlineStr">
        <is>
          <t>C11</t>
        </is>
      </c>
      <c r="D64" s="30">
        <f>IFERROR(INDEX(Clients!$B:$B,MATCH(C64,Clients!$A:$A,0)),"Client inconnu")</f>
        <v/>
      </c>
      <c r="E64" s="31">
        <f>B64+IFERROR(INDEX(Clients!$D:$D,MATCH(C64,Clients!$A:$A,0)),30)</f>
        <v/>
      </c>
      <c r="F64" s="32">
        <f>SUMIFS(Lignes!$H:$H,Lignes!$A:$A,A64)</f>
        <v/>
      </c>
      <c r="G64" s="32">
        <f>SUMIFS(Lignes!$I:$I,Lignes!$A:$A,A64)</f>
        <v/>
      </c>
      <c r="H64" s="32">
        <f>F64+G64</f>
        <v/>
      </c>
      <c r="I64" s="32">
        <f>SUMIFS(Encaissements!$E:$E,Encaissements!$B:$B,A64)</f>
        <v/>
      </c>
      <c r="J64" s="32">
        <f>ROUND(H64-I64,2)</f>
        <v/>
      </c>
      <c r="K64" s="30">
        <f>IF(J64&lt;=0.5,"Payée",IF(DateAnalyse&gt;E64,"En retard",IF(I64&gt;0,"Partielle","À échéance")))</f>
        <v/>
      </c>
      <c r="L64" s="33">
        <f>IF(K64="En retard",DateAnalyse-E64,0)</f>
        <v/>
      </c>
      <c r="M64" s="30">
        <f>IF(J64&lt;=0.5,"Soldée",IF(L64=0,"Non échue",IF(L64&lt;=30,"1–30 j",IF(L64&lt;=60,"31–60 j",IF(L64&lt;=90,"61–90 j","&gt; 90 j")))))</f>
        <v/>
      </c>
    </row>
    <row r="65">
      <c r="A65" s="30" t="inlineStr">
        <is>
          <t>FA-2026-0064</t>
        </is>
      </c>
      <c r="B65" s="31" t="n">
        <v>46139</v>
      </c>
      <c r="C65" s="30" t="inlineStr">
        <is>
          <t>C06</t>
        </is>
      </c>
      <c r="D65" s="30">
        <f>IFERROR(INDEX(Clients!$B:$B,MATCH(C65,Clients!$A:$A,0)),"Client inconnu")</f>
        <v/>
      </c>
      <c r="E65" s="31">
        <f>B65+IFERROR(INDEX(Clients!$D:$D,MATCH(C65,Clients!$A:$A,0)),30)</f>
        <v/>
      </c>
      <c r="F65" s="32">
        <f>SUMIFS(Lignes!$H:$H,Lignes!$A:$A,A65)</f>
        <v/>
      </c>
      <c r="G65" s="32">
        <f>SUMIFS(Lignes!$I:$I,Lignes!$A:$A,A65)</f>
        <v/>
      </c>
      <c r="H65" s="32">
        <f>F65+G65</f>
        <v/>
      </c>
      <c r="I65" s="32">
        <f>SUMIFS(Encaissements!$E:$E,Encaissements!$B:$B,A65)</f>
        <v/>
      </c>
      <c r="J65" s="32">
        <f>ROUND(H65-I65,2)</f>
        <v/>
      </c>
      <c r="K65" s="30">
        <f>IF(J65&lt;=0.5,"Payée",IF(DateAnalyse&gt;E65,"En retard",IF(I65&gt;0,"Partielle","À échéance")))</f>
        <v/>
      </c>
      <c r="L65" s="33">
        <f>IF(K65="En retard",DateAnalyse-E65,0)</f>
        <v/>
      </c>
      <c r="M65" s="30">
        <f>IF(J65&lt;=0.5,"Soldée",IF(L65=0,"Non échue",IF(L65&lt;=30,"1–30 j",IF(L65&lt;=60,"31–60 j",IF(L65&lt;=90,"61–90 j","&gt; 90 j")))))</f>
        <v/>
      </c>
    </row>
    <row r="66">
      <c r="A66" s="30" t="inlineStr">
        <is>
          <t>FA-2026-0065</t>
        </is>
      </c>
      <c r="B66" s="31" t="n">
        <v>46140</v>
      </c>
      <c r="C66" s="30" t="inlineStr">
        <is>
          <t>C06</t>
        </is>
      </c>
      <c r="D66" s="30">
        <f>IFERROR(INDEX(Clients!$B:$B,MATCH(C66,Clients!$A:$A,0)),"Client inconnu")</f>
        <v/>
      </c>
      <c r="E66" s="31">
        <f>B66+IFERROR(INDEX(Clients!$D:$D,MATCH(C66,Clients!$A:$A,0)),30)</f>
        <v/>
      </c>
      <c r="F66" s="32">
        <f>SUMIFS(Lignes!$H:$H,Lignes!$A:$A,A66)</f>
        <v/>
      </c>
      <c r="G66" s="32">
        <f>SUMIFS(Lignes!$I:$I,Lignes!$A:$A,A66)</f>
        <v/>
      </c>
      <c r="H66" s="32">
        <f>F66+G66</f>
        <v/>
      </c>
      <c r="I66" s="32">
        <f>SUMIFS(Encaissements!$E:$E,Encaissements!$B:$B,A66)</f>
        <v/>
      </c>
      <c r="J66" s="32">
        <f>ROUND(H66-I66,2)</f>
        <v/>
      </c>
      <c r="K66" s="30">
        <f>IF(J66&lt;=0.5,"Payée",IF(DateAnalyse&gt;E66,"En retard",IF(I66&gt;0,"Partielle","À échéance")))</f>
        <v/>
      </c>
      <c r="L66" s="33">
        <f>IF(K66="En retard",DateAnalyse-E66,0)</f>
        <v/>
      </c>
      <c r="M66" s="30">
        <f>IF(J66&lt;=0.5,"Soldée",IF(L66=0,"Non échue",IF(L66&lt;=30,"1–30 j",IF(L66&lt;=60,"31–60 j",IF(L66&lt;=90,"61–90 j","&gt; 90 j")))))</f>
        <v/>
      </c>
    </row>
    <row r="67">
      <c r="A67" s="30" t="inlineStr">
        <is>
          <t>FA-2026-0066</t>
        </is>
      </c>
      <c r="B67" s="31" t="n">
        <v>46141</v>
      </c>
      <c r="C67" s="30" t="inlineStr">
        <is>
          <t>C09</t>
        </is>
      </c>
      <c r="D67" s="30">
        <f>IFERROR(INDEX(Clients!$B:$B,MATCH(C67,Clients!$A:$A,0)),"Client inconnu")</f>
        <v/>
      </c>
      <c r="E67" s="31">
        <f>B67+IFERROR(INDEX(Clients!$D:$D,MATCH(C67,Clients!$A:$A,0)),30)</f>
        <v/>
      </c>
      <c r="F67" s="32">
        <f>SUMIFS(Lignes!$H:$H,Lignes!$A:$A,A67)</f>
        <v/>
      </c>
      <c r="G67" s="32">
        <f>SUMIFS(Lignes!$I:$I,Lignes!$A:$A,A67)</f>
        <v/>
      </c>
      <c r="H67" s="32">
        <f>F67+G67</f>
        <v/>
      </c>
      <c r="I67" s="32">
        <f>SUMIFS(Encaissements!$E:$E,Encaissements!$B:$B,A67)</f>
        <v/>
      </c>
      <c r="J67" s="32">
        <f>ROUND(H67-I67,2)</f>
        <v/>
      </c>
      <c r="K67" s="30">
        <f>IF(J67&lt;=0.5,"Payée",IF(DateAnalyse&gt;E67,"En retard",IF(I67&gt;0,"Partielle","À échéance")))</f>
        <v/>
      </c>
      <c r="L67" s="33">
        <f>IF(K67="En retard",DateAnalyse-E67,0)</f>
        <v/>
      </c>
      <c r="M67" s="30">
        <f>IF(J67&lt;=0.5,"Soldée",IF(L67=0,"Non échue",IF(L67&lt;=30,"1–30 j",IF(L67&lt;=60,"31–60 j",IF(L67&lt;=90,"61–90 j","&gt; 90 j")))))</f>
        <v/>
      </c>
    </row>
    <row r="68">
      <c r="A68" s="30" t="inlineStr">
        <is>
          <t>FA-2026-0067</t>
        </is>
      </c>
      <c r="B68" s="31" t="n">
        <v>46144</v>
      </c>
      <c r="C68" s="30" t="inlineStr">
        <is>
          <t>C04</t>
        </is>
      </c>
      <c r="D68" s="30">
        <f>IFERROR(INDEX(Clients!$B:$B,MATCH(C68,Clients!$A:$A,0)),"Client inconnu")</f>
        <v/>
      </c>
      <c r="E68" s="31">
        <f>B68+IFERROR(INDEX(Clients!$D:$D,MATCH(C68,Clients!$A:$A,0)),30)</f>
        <v/>
      </c>
      <c r="F68" s="32">
        <f>SUMIFS(Lignes!$H:$H,Lignes!$A:$A,A68)</f>
        <v/>
      </c>
      <c r="G68" s="32">
        <f>SUMIFS(Lignes!$I:$I,Lignes!$A:$A,A68)</f>
        <v/>
      </c>
      <c r="H68" s="32">
        <f>F68+G68</f>
        <v/>
      </c>
      <c r="I68" s="32">
        <f>SUMIFS(Encaissements!$E:$E,Encaissements!$B:$B,A68)</f>
        <v/>
      </c>
      <c r="J68" s="32">
        <f>ROUND(H68-I68,2)</f>
        <v/>
      </c>
      <c r="K68" s="30">
        <f>IF(J68&lt;=0.5,"Payée",IF(DateAnalyse&gt;E68,"En retard",IF(I68&gt;0,"Partielle","À échéance")))</f>
        <v/>
      </c>
      <c r="L68" s="33">
        <f>IF(K68="En retard",DateAnalyse-E68,0)</f>
        <v/>
      </c>
      <c r="M68" s="30">
        <f>IF(J68&lt;=0.5,"Soldée",IF(L68=0,"Non échue",IF(L68&lt;=30,"1–30 j",IF(L68&lt;=60,"31–60 j",IF(L68&lt;=90,"61–90 j","&gt; 90 j")))))</f>
        <v/>
      </c>
    </row>
    <row r="69">
      <c r="A69" s="30" t="inlineStr">
        <is>
          <t>FA-2026-0068</t>
        </is>
      </c>
      <c r="B69" s="31" t="n">
        <v>46146</v>
      </c>
      <c r="C69" s="30" t="inlineStr">
        <is>
          <t>C05</t>
        </is>
      </c>
      <c r="D69" s="30">
        <f>IFERROR(INDEX(Clients!$B:$B,MATCH(C69,Clients!$A:$A,0)),"Client inconnu")</f>
        <v/>
      </c>
      <c r="E69" s="31">
        <f>B69+IFERROR(INDEX(Clients!$D:$D,MATCH(C69,Clients!$A:$A,0)),30)</f>
        <v/>
      </c>
      <c r="F69" s="32">
        <f>SUMIFS(Lignes!$H:$H,Lignes!$A:$A,A69)</f>
        <v/>
      </c>
      <c r="G69" s="32">
        <f>SUMIFS(Lignes!$I:$I,Lignes!$A:$A,A69)</f>
        <v/>
      </c>
      <c r="H69" s="32">
        <f>F69+G69</f>
        <v/>
      </c>
      <c r="I69" s="32">
        <f>SUMIFS(Encaissements!$E:$E,Encaissements!$B:$B,A69)</f>
        <v/>
      </c>
      <c r="J69" s="32">
        <f>ROUND(H69-I69,2)</f>
        <v/>
      </c>
      <c r="K69" s="30">
        <f>IF(J69&lt;=0.5,"Payée",IF(DateAnalyse&gt;E69,"En retard",IF(I69&gt;0,"Partielle","À échéance")))</f>
        <v/>
      </c>
      <c r="L69" s="33">
        <f>IF(K69="En retard",DateAnalyse-E69,0)</f>
        <v/>
      </c>
      <c r="M69" s="30">
        <f>IF(J69&lt;=0.5,"Soldée",IF(L69=0,"Non échue",IF(L69&lt;=30,"1–30 j",IF(L69&lt;=60,"31–60 j",IF(L69&lt;=90,"61–90 j","&gt; 90 j")))))</f>
        <v/>
      </c>
    </row>
    <row r="70">
      <c r="A70" s="30" t="inlineStr">
        <is>
          <t>FA-2026-0069</t>
        </is>
      </c>
      <c r="B70" s="31" t="n">
        <v>46147</v>
      </c>
      <c r="C70" s="30" t="inlineStr">
        <is>
          <t>C06</t>
        </is>
      </c>
      <c r="D70" s="30">
        <f>IFERROR(INDEX(Clients!$B:$B,MATCH(C70,Clients!$A:$A,0)),"Client inconnu")</f>
        <v/>
      </c>
      <c r="E70" s="31">
        <f>B70+IFERROR(INDEX(Clients!$D:$D,MATCH(C70,Clients!$A:$A,0)),30)</f>
        <v/>
      </c>
      <c r="F70" s="32">
        <f>SUMIFS(Lignes!$H:$H,Lignes!$A:$A,A70)</f>
        <v/>
      </c>
      <c r="G70" s="32">
        <f>SUMIFS(Lignes!$I:$I,Lignes!$A:$A,A70)</f>
        <v/>
      </c>
      <c r="H70" s="32">
        <f>F70+G70</f>
        <v/>
      </c>
      <c r="I70" s="32">
        <f>SUMIFS(Encaissements!$E:$E,Encaissements!$B:$B,A70)</f>
        <v/>
      </c>
      <c r="J70" s="32">
        <f>ROUND(H70-I70,2)</f>
        <v/>
      </c>
      <c r="K70" s="30">
        <f>IF(J70&lt;=0.5,"Payée",IF(DateAnalyse&gt;E70,"En retard",IF(I70&gt;0,"Partielle","À échéance")))</f>
        <v/>
      </c>
      <c r="L70" s="33">
        <f>IF(K70="En retard",DateAnalyse-E70,0)</f>
        <v/>
      </c>
      <c r="M70" s="30">
        <f>IF(J70&lt;=0.5,"Soldée",IF(L70=0,"Non échue",IF(L70&lt;=30,"1–30 j",IF(L70&lt;=60,"31–60 j",IF(L70&lt;=90,"61–90 j","&gt; 90 j")))))</f>
        <v/>
      </c>
    </row>
    <row r="71">
      <c r="A71" s="30" t="inlineStr">
        <is>
          <t>FA-2026-0070</t>
        </is>
      </c>
      <c r="B71" s="31" t="n">
        <v>46149</v>
      </c>
      <c r="C71" s="30" t="inlineStr">
        <is>
          <t>C01</t>
        </is>
      </c>
      <c r="D71" s="30">
        <f>IFERROR(INDEX(Clients!$B:$B,MATCH(C71,Clients!$A:$A,0)),"Client inconnu")</f>
        <v/>
      </c>
      <c r="E71" s="31">
        <f>B71+IFERROR(INDEX(Clients!$D:$D,MATCH(C71,Clients!$A:$A,0)),30)</f>
        <v/>
      </c>
      <c r="F71" s="32">
        <f>SUMIFS(Lignes!$H:$H,Lignes!$A:$A,A71)</f>
        <v/>
      </c>
      <c r="G71" s="32">
        <f>SUMIFS(Lignes!$I:$I,Lignes!$A:$A,A71)</f>
        <v/>
      </c>
      <c r="H71" s="32">
        <f>F71+G71</f>
        <v/>
      </c>
      <c r="I71" s="32">
        <f>SUMIFS(Encaissements!$E:$E,Encaissements!$B:$B,A71)</f>
        <v/>
      </c>
      <c r="J71" s="32">
        <f>ROUND(H71-I71,2)</f>
        <v/>
      </c>
      <c r="K71" s="30">
        <f>IF(J71&lt;=0.5,"Payée",IF(DateAnalyse&gt;E71,"En retard",IF(I71&gt;0,"Partielle","À échéance")))</f>
        <v/>
      </c>
      <c r="L71" s="33">
        <f>IF(K71="En retard",DateAnalyse-E71,0)</f>
        <v/>
      </c>
      <c r="M71" s="30">
        <f>IF(J71&lt;=0.5,"Soldée",IF(L71=0,"Non échue",IF(L71&lt;=30,"1–30 j",IF(L71&lt;=60,"31–60 j",IF(L71&lt;=90,"61–90 j","&gt; 90 j")))))</f>
        <v/>
      </c>
    </row>
    <row r="72">
      <c r="A72" s="30" t="inlineStr">
        <is>
          <t>FA-2026-0071</t>
        </is>
      </c>
      <c r="B72" s="31" t="n">
        <v>46149</v>
      </c>
      <c r="C72" s="30" t="inlineStr">
        <is>
          <t>C06</t>
        </is>
      </c>
      <c r="D72" s="30">
        <f>IFERROR(INDEX(Clients!$B:$B,MATCH(C72,Clients!$A:$A,0)),"Client inconnu")</f>
        <v/>
      </c>
      <c r="E72" s="31">
        <f>B72+IFERROR(INDEX(Clients!$D:$D,MATCH(C72,Clients!$A:$A,0)),30)</f>
        <v/>
      </c>
      <c r="F72" s="32">
        <f>SUMIFS(Lignes!$H:$H,Lignes!$A:$A,A72)</f>
        <v/>
      </c>
      <c r="G72" s="32">
        <f>SUMIFS(Lignes!$I:$I,Lignes!$A:$A,A72)</f>
        <v/>
      </c>
      <c r="H72" s="32">
        <f>F72+G72</f>
        <v/>
      </c>
      <c r="I72" s="32">
        <f>SUMIFS(Encaissements!$E:$E,Encaissements!$B:$B,A72)</f>
        <v/>
      </c>
      <c r="J72" s="32">
        <f>ROUND(H72-I72,2)</f>
        <v/>
      </c>
      <c r="K72" s="30">
        <f>IF(J72&lt;=0.5,"Payée",IF(DateAnalyse&gt;E72,"En retard",IF(I72&gt;0,"Partielle","À échéance")))</f>
        <v/>
      </c>
      <c r="L72" s="33">
        <f>IF(K72="En retard",DateAnalyse-E72,0)</f>
        <v/>
      </c>
      <c r="M72" s="30">
        <f>IF(J72&lt;=0.5,"Soldée",IF(L72=0,"Non échue",IF(L72&lt;=30,"1–30 j",IF(L72&lt;=60,"31–60 j",IF(L72&lt;=90,"61–90 j","&gt; 90 j")))))</f>
        <v/>
      </c>
    </row>
    <row r="73">
      <c r="A73" s="30" t="inlineStr">
        <is>
          <t>FA-2026-0072</t>
        </is>
      </c>
      <c r="B73" s="31" t="n">
        <v>46151</v>
      </c>
      <c r="C73" s="30" t="inlineStr">
        <is>
          <t>C06</t>
        </is>
      </c>
      <c r="D73" s="30">
        <f>IFERROR(INDEX(Clients!$B:$B,MATCH(C73,Clients!$A:$A,0)),"Client inconnu")</f>
        <v/>
      </c>
      <c r="E73" s="31">
        <f>B73+IFERROR(INDEX(Clients!$D:$D,MATCH(C73,Clients!$A:$A,0)),30)</f>
        <v/>
      </c>
      <c r="F73" s="32">
        <f>SUMIFS(Lignes!$H:$H,Lignes!$A:$A,A73)</f>
        <v/>
      </c>
      <c r="G73" s="32">
        <f>SUMIFS(Lignes!$I:$I,Lignes!$A:$A,A73)</f>
        <v/>
      </c>
      <c r="H73" s="32">
        <f>F73+G73</f>
        <v/>
      </c>
      <c r="I73" s="32">
        <f>SUMIFS(Encaissements!$E:$E,Encaissements!$B:$B,A73)</f>
        <v/>
      </c>
      <c r="J73" s="32">
        <f>ROUND(H73-I73,2)</f>
        <v/>
      </c>
      <c r="K73" s="30">
        <f>IF(J73&lt;=0.5,"Payée",IF(DateAnalyse&gt;E73,"En retard",IF(I73&gt;0,"Partielle","À échéance")))</f>
        <v/>
      </c>
      <c r="L73" s="33">
        <f>IF(K73="En retard",DateAnalyse-E73,0)</f>
        <v/>
      </c>
      <c r="M73" s="30">
        <f>IF(J73&lt;=0.5,"Soldée",IF(L73=0,"Non échue",IF(L73&lt;=30,"1–30 j",IF(L73&lt;=60,"31–60 j",IF(L73&lt;=90,"61–90 j","&gt; 90 j")))))</f>
        <v/>
      </c>
    </row>
    <row r="74">
      <c r="A74" s="30" t="inlineStr">
        <is>
          <t>FA-2026-0073</t>
        </is>
      </c>
      <c r="B74" s="31" t="n">
        <v>46154</v>
      </c>
      <c r="C74" s="30" t="inlineStr">
        <is>
          <t>C10</t>
        </is>
      </c>
      <c r="D74" s="30">
        <f>IFERROR(INDEX(Clients!$B:$B,MATCH(C74,Clients!$A:$A,0)),"Client inconnu")</f>
        <v/>
      </c>
      <c r="E74" s="31">
        <f>B74+IFERROR(INDEX(Clients!$D:$D,MATCH(C74,Clients!$A:$A,0)),30)</f>
        <v/>
      </c>
      <c r="F74" s="32">
        <f>SUMIFS(Lignes!$H:$H,Lignes!$A:$A,A74)</f>
        <v/>
      </c>
      <c r="G74" s="32">
        <f>SUMIFS(Lignes!$I:$I,Lignes!$A:$A,A74)</f>
        <v/>
      </c>
      <c r="H74" s="32">
        <f>F74+G74</f>
        <v/>
      </c>
      <c r="I74" s="32">
        <f>SUMIFS(Encaissements!$E:$E,Encaissements!$B:$B,A74)</f>
        <v/>
      </c>
      <c r="J74" s="32">
        <f>ROUND(H74-I74,2)</f>
        <v/>
      </c>
      <c r="K74" s="30">
        <f>IF(J74&lt;=0.5,"Payée",IF(DateAnalyse&gt;E74,"En retard",IF(I74&gt;0,"Partielle","À échéance")))</f>
        <v/>
      </c>
      <c r="L74" s="33">
        <f>IF(K74="En retard",DateAnalyse-E74,0)</f>
        <v/>
      </c>
      <c r="M74" s="30">
        <f>IF(J74&lt;=0.5,"Soldée",IF(L74=0,"Non échue",IF(L74&lt;=30,"1–30 j",IF(L74&lt;=60,"31–60 j",IF(L74&lt;=90,"61–90 j","&gt; 90 j")))))</f>
        <v/>
      </c>
    </row>
    <row r="75">
      <c r="A75" s="30" t="inlineStr">
        <is>
          <t>FA-2026-0074</t>
        </is>
      </c>
      <c r="B75" s="31" t="n">
        <v>46156</v>
      </c>
      <c r="C75" s="30" t="inlineStr">
        <is>
          <t>C12</t>
        </is>
      </c>
      <c r="D75" s="30">
        <f>IFERROR(INDEX(Clients!$B:$B,MATCH(C75,Clients!$A:$A,0)),"Client inconnu")</f>
        <v/>
      </c>
      <c r="E75" s="31">
        <f>B75+IFERROR(INDEX(Clients!$D:$D,MATCH(C75,Clients!$A:$A,0)),30)</f>
        <v/>
      </c>
      <c r="F75" s="32">
        <f>SUMIFS(Lignes!$H:$H,Lignes!$A:$A,A75)</f>
        <v/>
      </c>
      <c r="G75" s="32">
        <f>SUMIFS(Lignes!$I:$I,Lignes!$A:$A,A75)</f>
        <v/>
      </c>
      <c r="H75" s="32">
        <f>F75+G75</f>
        <v/>
      </c>
      <c r="I75" s="32">
        <f>SUMIFS(Encaissements!$E:$E,Encaissements!$B:$B,A75)</f>
        <v/>
      </c>
      <c r="J75" s="32">
        <f>ROUND(H75-I75,2)</f>
        <v/>
      </c>
      <c r="K75" s="30">
        <f>IF(J75&lt;=0.5,"Payée",IF(DateAnalyse&gt;E75,"En retard",IF(I75&gt;0,"Partielle","À échéance")))</f>
        <v/>
      </c>
      <c r="L75" s="33">
        <f>IF(K75="En retard",DateAnalyse-E75,0)</f>
        <v/>
      </c>
      <c r="M75" s="30">
        <f>IF(J75&lt;=0.5,"Soldée",IF(L75=0,"Non échue",IF(L75&lt;=30,"1–30 j",IF(L75&lt;=60,"31–60 j",IF(L75&lt;=90,"61–90 j","&gt; 90 j")))))</f>
        <v/>
      </c>
    </row>
    <row r="76">
      <c r="A76" s="30" t="inlineStr">
        <is>
          <t>FA-2026-0075</t>
        </is>
      </c>
      <c r="B76" s="31" t="n">
        <v>46158</v>
      </c>
      <c r="C76" s="30" t="inlineStr">
        <is>
          <t>C06</t>
        </is>
      </c>
      <c r="D76" s="30">
        <f>IFERROR(INDEX(Clients!$B:$B,MATCH(C76,Clients!$A:$A,0)),"Client inconnu")</f>
        <v/>
      </c>
      <c r="E76" s="31">
        <f>B76+IFERROR(INDEX(Clients!$D:$D,MATCH(C76,Clients!$A:$A,0)),30)</f>
        <v/>
      </c>
      <c r="F76" s="32">
        <f>SUMIFS(Lignes!$H:$H,Lignes!$A:$A,A76)</f>
        <v/>
      </c>
      <c r="G76" s="32">
        <f>SUMIFS(Lignes!$I:$I,Lignes!$A:$A,A76)</f>
        <v/>
      </c>
      <c r="H76" s="32">
        <f>F76+G76</f>
        <v/>
      </c>
      <c r="I76" s="32">
        <f>SUMIFS(Encaissements!$E:$E,Encaissements!$B:$B,A76)</f>
        <v/>
      </c>
      <c r="J76" s="32">
        <f>ROUND(H76-I76,2)</f>
        <v/>
      </c>
      <c r="K76" s="30">
        <f>IF(J76&lt;=0.5,"Payée",IF(DateAnalyse&gt;E76,"En retard",IF(I76&gt;0,"Partielle","À échéance")))</f>
        <v/>
      </c>
      <c r="L76" s="33">
        <f>IF(K76="En retard",DateAnalyse-E76,0)</f>
        <v/>
      </c>
      <c r="M76" s="30">
        <f>IF(J76&lt;=0.5,"Soldée",IF(L76=0,"Non échue",IF(L76&lt;=30,"1–30 j",IF(L76&lt;=60,"31–60 j",IF(L76&lt;=90,"61–90 j","&gt; 90 j")))))</f>
        <v/>
      </c>
    </row>
    <row r="77">
      <c r="A77" s="30" t="inlineStr">
        <is>
          <t>FA-2026-0076</t>
        </is>
      </c>
      <c r="B77" s="31" t="n">
        <v>46159</v>
      </c>
      <c r="C77" s="30" t="inlineStr">
        <is>
          <t>C01</t>
        </is>
      </c>
      <c r="D77" s="30">
        <f>IFERROR(INDEX(Clients!$B:$B,MATCH(C77,Clients!$A:$A,0)),"Client inconnu")</f>
        <v/>
      </c>
      <c r="E77" s="31">
        <f>B77+IFERROR(INDEX(Clients!$D:$D,MATCH(C77,Clients!$A:$A,0)),30)</f>
        <v/>
      </c>
      <c r="F77" s="32">
        <f>SUMIFS(Lignes!$H:$H,Lignes!$A:$A,A77)</f>
        <v/>
      </c>
      <c r="G77" s="32">
        <f>SUMIFS(Lignes!$I:$I,Lignes!$A:$A,A77)</f>
        <v/>
      </c>
      <c r="H77" s="32">
        <f>F77+G77</f>
        <v/>
      </c>
      <c r="I77" s="32">
        <f>SUMIFS(Encaissements!$E:$E,Encaissements!$B:$B,A77)</f>
        <v/>
      </c>
      <c r="J77" s="32">
        <f>ROUND(H77-I77,2)</f>
        <v/>
      </c>
      <c r="K77" s="30">
        <f>IF(J77&lt;=0.5,"Payée",IF(DateAnalyse&gt;E77,"En retard",IF(I77&gt;0,"Partielle","À échéance")))</f>
        <v/>
      </c>
      <c r="L77" s="33">
        <f>IF(K77="En retard",DateAnalyse-E77,0)</f>
        <v/>
      </c>
      <c r="M77" s="30">
        <f>IF(J77&lt;=0.5,"Soldée",IF(L77=0,"Non échue",IF(L77&lt;=30,"1–30 j",IF(L77&lt;=60,"31–60 j",IF(L77&lt;=90,"61–90 j","&gt; 90 j")))))</f>
        <v/>
      </c>
    </row>
    <row r="78">
      <c r="A78" s="30" t="inlineStr">
        <is>
          <t>FA-2026-0077</t>
        </is>
      </c>
      <c r="B78" s="31" t="n">
        <v>46159</v>
      </c>
      <c r="C78" s="30" t="inlineStr">
        <is>
          <t>C06</t>
        </is>
      </c>
      <c r="D78" s="30">
        <f>IFERROR(INDEX(Clients!$B:$B,MATCH(C78,Clients!$A:$A,0)),"Client inconnu")</f>
        <v/>
      </c>
      <c r="E78" s="31">
        <f>B78+IFERROR(INDEX(Clients!$D:$D,MATCH(C78,Clients!$A:$A,0)),30)</f>
        <v/>
      </c>
      <c r="F78" s="32">
        <f>SUMIFS(Lignes!$H:$H,Lignes!$A:$A,A78)</f>
        <v/>
      </c>
      <c r="G78" s="32">
        <f>SUMIFS(Lignes!$I:$I,Lignes!$A:$A,A78)</f>
        <v/>
      </c>
      <c r="H78" s="32">
        <f>F78+G78</f>
        <v/>
      </c>
      <c r="I78" s="32">
        <f>SUMIFS(Encaissements!$E:$E,Encaissements!$B:$B,A78)</f>
        <v/>
      </c>
      <c r="J78" s="32">
        <f>ROUND(H78-I78,2)</f>
        <v/>
      </c>
      <c r="K78" s="30">
        <f>IF(J78&lt;=0.5,"Payée",IF(DateAnalyse&gt;E78,"En retard",IF(I78&gt;0,"Partielle","À échéance")))</f>
        <v/>
      </c>
      <c r="L78" s="33">
        <f>IF(K78="En retard",DateAnalyse-E78,0)</f>
        <v/>
      </c>
      <c r="M78" s="30">
        <f>IF(J78&lt;=0.5,"Soldée",IF(L78=0,"Non échue",IF(L78&lt;=30,"1–30 j",IF(L78&lt;=60,"31–60 j",IF(L78&lt;=90,"61–90 j","&gt; 90 j")))))</f>
        <v/>
      </c>
    </row>
    <row r="79">
      <c r="A79" s="30" t="inlineStr">
        <is>
          <t>FA-2026-0078</t>
        </is>
      </c>
      <c r="B79" s="31" t="n">
        <v>46162</v>
      </c>
      <c r="C79" s="30" t="inlineStr">
        <is>
          <t>C01</t>
        </is>
      </c>
      <c r="D79" s="30">
        <f>IFERROR(INDEX(Clients!$B:$B,MATCH(C79,Clients!$A:$A,0)),"Client inconnu")</f>
        <v/>
      </c>
      <c r="E79" s="31">
        <f>B79+IFERROR(INDEX(Clients!$D:$D,MATCH(C79,Clients!$A:$A,0)),30)</f>
        <v/>
      </c>
      <c r="F79" s="32">
        <f>SUMIFS(Lignes!$H:$H,Lignes!$A:$A,A79)</f>
        <v/>
      </c>
      <c r="G79" s="32">
        <f>SUMIFS(Lignes!$I:$I,Lignes!$A:$A,A79)</f>
        <v/>
      </c>
      <c r="H79" s="32">
        <f>F79+G79</f>
        <v/>
      </c>
      <c r="I79" s="32">
        <f>SUMIFS(Encaissements!$E:$E,Encaissements!$B:$B,A79)</f>
        <v/>
      </c>
      <c r="J79" s="32">
        <f>ROUND(H79-I79,2)</f>
        <v/>
      </c>
      <c r="K79" s="30">
        <f>IF(J79&lt;=0.5,"Payée",IF(DateAnalyse&gt;E79,"En retard",IF(I79&gt;0,"Partielle","À échéance")))</f>
        <v/>
      </c>
      <c r="L79" s="33">
        <f>IF(K79="En retard",DateAnalyse-E79,0)</f>
        <v/>
      </c>
      <c r="M79" s="30">
        <f>IF(J79&lt;=0.5,"Soldée",IF(L79=0,"Non échue",IF(L79&lt;=30,"1–30 j",IF(L79&lt;=60,"31–60 j",IF(L79&lt;=90,"61–90 j","&gt; 90 j")))))</f>
        <v/>
      </c>
    </row>
    <row r="80">
      <c r="A80" s="30" t="inlineStr">
        <is>
          <t>FA-2026-0079</t>
        </is>
      </c>
      <c r="B80" s="31" t="n">
        <v>46167</v>
      </c>
      <c r="C80" s="30" t="inlineStr">
        <is>
          <t>C07</t>
        </is>
      </c>
      <c r="D80" s="30">
        <f>IFERROR(INDEX(Clients!$B:$B,MATCH(C80,Clients!$A:$A,0)),"Client inconnu")</f>
        <v/>
      </c>
      <c r="E80" s="31">
        <f>B80+IFERROR(INDEX(Clients!$D:$D,MATCH(C80,Clients!$A:$A,0)),30)</f>
        <v/>
      </c>
      <c r="F80" s="32">
        <f>SUMIFS(Lignes!$H:$H,Lignes!$A:$A,A80)</f>
        <v/>
      </c>
      <c r="G80" s="32">
        <f>SUMIFS(Lignes!$I:$I,Lignes!$A:$A,A80)</f>
        <v/>
      </c>
      <c r="H80" s="32">
        <f>F80+G80</f>
        <v/>
      </c>
      <c r="I80" s="32">
        <f>SUMIFS(Encaissements!$E:$E,Encaissements!$B:$B,A80)</f>
        <v/>
      </c>
      <c r="J80" s="32">
        <f>ROUND(H80-I80,2)</f>
        <v/>
      </c>
      <c r="K80" s="30">
        <f>IF(J80&lt;=0.5,"Payée",IF(DateAnalyse&gt;E80,"En retard",IF(I80&gt;0,"Partielle","À échéance")))</f>
        <v/>
      </c>
      <c r="L80" s="33">
        <f>IF(K80="En retard",DateAnalyse-E80,0)</f>
        <v/>
      </c>
      <c r="M80" s="30">
        <f>IF(J80&lt;=0.5,"Soldée",IF(L80=0,"Non échue",IF(L80&lt;=30,"1–30 j",IF(L80&lt;=60,"31–60 j",IF(L80&lt;=90,"61–90 j","&gt; 90 j")))))</f>
        <v/>
      </c>
    </row>
    <row r="81">
      <c r="A81" s="30" t="inlineStr">
        <is>
          <t>FA-2026-0080</t>
        </is>
      </c>
      <c r="B81" s="31" t="n">
        <v>46167</v>
      </c>
      <c r="C81" s="30" t="inlineStr">
        <is>
          <t>C07</t>
        </is>
      </c>
      <c r="D81" s="30">
        <f>IFERROR(INDEX(Clients!$B:$B,MATCH(C81,Clients!$A:$A,0)),"Client inconnu")</f>
        <v/>
      </c>
      <c r="E81" s="31">
        <f>B81+IFERROR(INDEX(Clients!$D:$D,MATCH(C81,Clients!$A:$A,0)),30)</f>
        <v/>
      </c>
      <c r="F81" s="32">
        <f>SUMIFS(Lignes!$H:$H,Lignes!$A:$A,A81)</f>
        <v/>
      </c>
      <c r="G81" s="32">
        <f>SUMIFS(Lignes!$I:$I,Lignes!$A:$A,A81)</f>
        <v/>
      </c>
      <c r="H81" s="32">
        <f>F81+G81</f>
        <v/>
      </c>
      <c r="I81" s="32">
        <f>SUMIFS(Encaissements!$E:$E,Encaissements!$B:$B,A81)</f>
        <v/>
      </c>
      <c r="J81" s="32">
        <f>ROUND(H81-I81,2)</f>
        <v/>
      </c>
      <c r="K81" s="30">
        <f>IF(J81&lt;=0.5,"Payée",IF(DateAnalyse&gt;E81,"En retard",IF(I81&gt;0,"Partielle","À échéance")))</f>
        <v/>
      </c>
      <c r="L81" s="33">
        <f>IF(K81="En retard",DateAnalyse-E81,0)</f>
        <v/>
      </c>
      <c r="M81" s="30">
        <f>IF(J81&lt;=0.5,"Soldée",IF(L81=0,"Non échue",IF(L81&lt;=30,"1–30 j",IF(L81&lt;=60,"31–60 j",IF(L81&lt;=90,"61–90 j","&gt; 90 j")))))</f>
        <v/>
      </c>
    </row>
    <row r="82">
      <c r="A82" s="30" t="inlineStr">
        <is>
          <t>FA-2026-0081</t>
        </is>
      </c>
      <c r="B82" s="31" t="n">
        <v>46168</v>
      </c>
      <c r="C82" s="30" t="inlineStr">
        <is>
          <t>C03</t>
        </is>
      </c>
      <c r="D82" s="30">
        <f>IFERROR(INDEX(Clients!$B:$B,MATCH(C82,Clients!$A:$A,0)),"Client inconnu")</f>
        <v/>
      </c>
      <c r="E82" s="31">
        <f>B82+IFERROR(INDEX(Clients!$D:$D,MATCH(C82,Clients!$A:$A,0)),30)</f>
        <v/>
      </c>
      <c r="F82" s="32">
        <f>SUMIFS(Lignes!$H:$H,Lignes!$A:$A,A82)</f>
        <v/>
      </c>
      <c r="G82" s="32">
        <f>SUMIFS(Lignes!$I:$I,Lignes!$A:$A,A82)</f>
        <v/>
      </c>
      <c r="H82" s="32">
        <f>F82+G82</f>
        <v/>
      </c>
      <c r="I82" s="32">
        <f>SUMIFS(Encaissements!$E:$E,Encaissements!$B:$B,A82)</f>
        <v/>
      </c>
      <c r="J82" s="32">
        <f>ROUND(H82-I82,2)</f>
        <v/>
      </c>
      <c r="K82" s="30">
        <f>IF(J82&lt;=0.5,"Payée",IF(DateAnalyse&gt;E82,"En retard",IF(I82&gt;0,"Partielle","À échéance")))</f>
        <v/>
      </c>
      <c r="L82" s="33">
        <f>IF(K82="En retard",DateAnalyse-E82,0)</f>
        <v/>
      </c>
      <c r="M82" s="30">
        <f>IF(J82&lt;=0.5,"Soldée",IF(L82=0,"Non échue",IF(L82&lt;=30,"1–30 j",IF(L82&lt;=60,"31–60 j",IF(L82&lt;=90,"61–90 j","&gt; 90 j")))))</f>
        <v/>
      </c>
    </row>
    <row r="83">
      <c r="A83" s="30" t="inlineStr">
        <is>
          <t>FA-2026-0082</t>
        </is>
      </c>
      <c r="B83" s="31" t="n">
        <v>46170</v>
      </c>
      <c r="C83" s="30" t="inlineStr">
        <is>
          <t>C03</t>
        </is>
      </c>
      <c r="D83" s="30">
        <f>IFERROR(INDEX(Clients!$B:$B,MATCH(C83,Clients!$A:$A,0)),"Client inconnu")</f>
        <v/>
      </c>
      <c r="E83" s="31">
        <f>B83+IFERROR(INDEX(Clients!$D:$D,MATCH(C83,Clients!$A:$A,0)),30)</f>
        <v/>
      </c>
      <c r="F83" s="32">
        <f>SUMIFS(Lignes!$H:$H,Lignes!$A:$A,A83)</f>
        <v/>
      </c>
      <c r="G83" s="32">
        <f>SUMIFS(Lignes!$I:$I,Lignes!$A:$A,A83)</f>
        <v/>
      </c>
      <c r="H83" s="32">
        <f>F83+G83</f>
        <v/>
      </c>
      <c r="I83" s="32">
        <f>SUMIFS(Encaissements!$E:$E,Encaissements!$B:$B,A83)</f>
        <v/>
      </c>
      <c r="J83" s="32">
        <f>ROUND(H83-I83,2)</f>
        <v/>
      </c>
      <c r="K83" s="30">
        <f>IF(J83&lt;=0.5,"Payée",IF(DateAnalyse&gt;E83,"En retard",IF(I83&gt;0,"Partielle","À échéance")))</f>
        <v/>
      </c>
      <c r="L83" s="33">
        <f>IF(K83="En retard",DateAnalyse-E83,0)</f>
        <v/>
      </c>
      <c r="M83" s="30">
        <f>IF(J83&lt;=0.5,"Soldée",IF(L83=0,"Non échue",IF(L83&lt;=30,"1–30 j",IF(L83&lt;=60,"31–60 j",IF(L83&lt;=90,"61–90 j","&gt; 90 j")))))</f>
        <v/>
      </c>
    </row>
    <row r="84">
      <c r="A84" s="30" t="inlineStr">
        <is>
          <t>FA-2026-0083</t>
        </is>
      </c>
      <c r="B84" s="31" t="n">
        <v>46172</v>
      </c>
      <c r="C84" s="30" t="inlineStr">
        <is>
          <t>C07</t>
        </is>
      </c>
      <c r="D84" s="30">
        <f>IFERROR(INDEX(Clients!$B:$B,MATCH(C84,Clients!$A:$A,0)),"Client inconnu")</f>
        <v/>
      </c>
      <c r="E84" s="31">
        <f>B84+IFERROR(INDEX(Clients!$D:$D,MATCH(C84,Clients!$A:$A,0)),30)</f>
        <v/>
      </c>
      <c r="F84" s="32">
        <f>SUMIFS(Lignes!$H:$H,Lignes!$A:$A,A84)</f>
        <v/>
      </c>
      <c r="G84" s="32">
        <f>SUMIFS(Lignes!$I:$I,Lignes!$A:$A,A84)</f>
        <v/>
      </c>
      <c r="H84" s="32">
        <f>F84+G84</f>
        <v/>
      </c>
      <c r="I84" s="32">
        <f>SUMIFS(Encaissements!$E:$E,Encaissements!$B:$B,A84)</f>
        <v/>
      </c>
      <c r="J84" s="32">
        <f>ROUND(H84-I84,2)</f>
        <v/>
      </c>
      <c r="K84" s="30">
        <f>IF(J84&lt;=0.5,"Payée",IF(DateAnalyse&gt;E84,"En retard",IF(I84&gt;0,"Partielle","À échéance")))</f>
        <v/>
      </c>
      <c r="L84" s="33">
        <f>IF(K84="En retard",DateAnalyse-E84,0)</f>
        <v/>
      </c>
      <c r="M84" s="30">
        <f>IF(J84&lt;=0.5,"Soldée",IF(L84=0,"Non échue",IF(L84&lt;=30,"1–30 j",IF(L84&lt;=60,"31–60 j",IF(L84&lt;=90,"61–90 j","&gt; 90 j")))))</f>
        <v/>
      </c>
    </row>
    <row r="85">
      <c r="A85" s="30" t="inlineStr">
        <is>
          <t>FA-2026-0084</t>
        </is>
      </c>
      <c r="B85" s="31" t="n">
        <v>46175</v>
      </c>
      <c r="C85" s="30" t="inlineStr">
        <is>
          <t>C10</t>
        </is>
      </c>
      <c r="D85" s="30">
        <f>IFERROR(INDEX(Clients!$B:$B,MATCH(C85,Clients!$A:$A,0)),"Client inconnu")</f>
        <v/>
      </c>
      <c r="E85" s="31">
        <f>B85+IFERROR(INDEX(Clients!$D:$D,MATCH(C85,Clients!$A:$A,0)),30)</f>
        <v/>
      </c>
      <c r="F85" s="32">
        <f>SUMIFS(Lignes!$H:$H,Lignes!$A:$A,A85)</f>
        <v/>
      </c>
      <c r="G85" s="32">
        <f>SUMIFS(Lignes!$I:$I,Lignes!$A:$A,A85)</f>
        <v/>
      </c>
      <c r="H85" s="32">
        <f>F85+G85</f>
        <v/>
      </c>
      <c r="I85" s="32">
        <f>SUMIFS(Encaissements!$E:$E,Encaissements!$B:$B,A85)</f>
        <v/>
      </c>
      <c r="J85" s="32">
        <f>ROUND(H85-I85,2)</f>
        <v/>
      </c>
      <c r="K85" s="30">
        <f>IF(J85&lt;=0.5,"Payée",IF(DateAnalyse&gt;E85,"En retard",IF(I85&gt;0,"Partielle","À échéance")))</f>
        <v/>
      </c>
      <c r="L85" s="33">
        <f>IF(K85="En retard",DateAnalyse-E85,0)</f>
        <v/>
      </c>
      <c r="M85" s="30">
        <f>IF(J85&lt;=0.5,"Soldée",IF(L85=0,"Non échue",IF(L85&lt;=30,"1–30 j",IF(L85&lt;=60,"31–60 j",IF(L85&lt;=90,"61–90 j","&gt; 90 j")))))</f>
        <v/>
      </c>
    </row>
    <row r="86">
      <c r="A86" s="30" t="inlineStr">
        <is>
          <t>FA-2026-0085</t>
        </is>
      </c>
      <c r="B86" s="31" t="n">
        <v>46177</v>
      </c>
      <c r="C86" s="30" t="inlineStr">
        <is>
          <t>C07</t>
        </is>
      </c>
      <c r="D86" s="30">
        <f>IFERROR(INDEX(Clients!$B:$B,MATCH(C86,Clients!$A:$A,0)),"Client inconnu")</f>
        <v/>
      </c>
      <c r="E86" s="31">
        <f>B86+IFERROR(INDEX(Clients!$D:$D,MATCH(C86,Clients!$A:$A,0)),30)</f>
        <v/>
      </c>
      <c r="F86" s="32">
        <f>SUMIFS(Lignes!$H:$H,Lignes!$A:$A,A86)</f>
        <v/>
      </c>
      <c r="G86" s="32">
        <f>SUMIFS(Lignes!$I:$I,Lignes!$A:$A,A86)</f>
        <v/>
      </c>
      <c r="H86" s="32">
        <f>F86+G86</f>
        <v/>
      </c>
      <c r="I86" s="32">
        <f>SUMIFS(Encaissements!$E:$E,Encaissements!$B:$B,A86)</f>
        <v/>
      </c>
      <c r="J86" s="32">
        <f>ROUND(H86-I86,2)</f>
        <v/>
      </c>
      <c r="K86" s="30">
        <f>IF(J86&lt;=0.5,"Payée",IF(DateAnalyse&gt;E86,"En retard",IF(I86&gt;0,"Partielle","À échéance")))</f>
        <v/>
      </c>
      <c r="L86" s="33">
        <f>IF(K86="En retard",DateAnalyse-E86,0)</f>
        <v/>
      </c>
      <c r="M86" s="30">
        <f>IF(J86&lt;=0.5,"Soldée",IF(L86=0,"Non échue",IF(L86&lt;=30,"1–30 j",IF(L86&lt;=60,"31–60 j",IF(L86&lt;=90,"61–90 j","&gt; 90 j")))))</f>
        <v/>
      </c>
    </row>
    <row r="87">
      <c r="A87" s="30" t="inlineStr">
        <is>
          <t>FA-2026-0086</t>
        </is>
      </c>
      <c r="B87" s="31" t="n">
        <v>46181</v>
      </c>
      <c r="C87" s="30" t="inlineStr">
        <is>
          <t>C06</t>
        </is>
      </c>
      <c r="D87" s="30">
        <f>IFERROR(INDEX(Clients!$B:$B,MATCH(C87,Clients!$A:$A,0)),"Client inconnu")</f>
        <v/>
      </c>
      <c r="E87" s="31">
        <f>B87+IFERROR(INDEX(Clients!$D:$D,MATCH(C87,Clients!$A:$A,0)),30)</f>
        <v/>
      </c>
      <c r="F87" s="32">
        <f>SUMIFS(Lignes!$H:$H,Lignes!$A:$A,A87)</f>
        <v/>
      </c>
      <c r="G87" s="32">
        <f>SUMIFS(Lignes!$I:$I,Lignes!$A:$A,A87)</f>
        <v/>
      </c>
      <c r="H87" s="32">
        <f>F87+G87</f>
        <v/>
      </c>
      <c r="I87" s="32">
        <f>SUMIFS(Encaissements!$E:$E,Encaissements!$B:$B,A87)</f>
        <v/>
      </c>
      <c r="J87" s="32">
        <f>ROUND(H87-I87,2)</f>
        <v/>
      </c>
      <c r="K87" s="30">
        <f>IF(J87&lt;=0.5,"Payée",IF(DateAnalyse&gt;E87,"En retard",IF(I87&gt;0,"Partielle","À échéance")))</f>
        <v/>
      </c>
      <c r="L87" s="33">
        <f>IF(K87="En retard",DateAnalyse-E87,0)</f>
        <v/>
      </c>
      <c r="M87" s="30">
        <f>IF(J87&lt;=0.5,"Soldée",IF(L87=0,"Non échue",IF(L87&lt;=30,"1–30 j",IF(L87&lt;=60,"31–60 j",IF(L87&lt;=90,"61–90 j","&gt; 90 j")))))</f>
        <v/>
      </c>
    </row>
    <row r="88">
      <c r="A88" s="30" t="inlineStr">
        <is>
          <t>FA-2026-0087</t>
        </is>
      </c>
      <c r="B88" s="31" t="n">
        <v>46183</v>
      </c>
      <c r="C88" s="30" t="inlineStr">
        <is>
          <t>C07</t>
        </is>
      </c>
      <c r="D88" s="30">
        <f>IFERROR(INDEX(Clients!$B:$B,MATCH(C88,Clients!$A:$A,0)),"Client inconnu")</f>
        <v/>
      </c>
      <c r="E88" s="31">
        <f>B88+IFERROR(INDEX(Clients!$D:$D,MATCH(C88,Clients!$A:$A,0)),30)</f>
        <v/>
      </c>
      <c r="F88" s="32">
        <f>SUMIFS(Lignes!$H:$H,Lignes!$A:$A,A88)</f>
        <v/>
      </c>
      <c r="G88" s="32">
        <f>SUMIFS(Lignes!$I:$I,Lignes!$A:$A,A88)</f>
        <v/>
      </c>
      <c r="H88" s="32">
        <f>F88+G88</f>
        <v/>
      </c>
      <c r="I88" s="32">
        <f>SUMIFS(Encaissements!$E:$E,Encaissements!$B:$B,A88)</f>
        <v/>
      </c>
      <c r="J88" s="32">
        <f>ROUND(H88-I88,2)</f>
        <v/>
      </c>
      <c r="K88" s="30">
        <f>IF(J88&lt;=0.5,"Payée",IF(DateAnalyse&gt;E88,"En retard",IF(I88&gt;0,"Partielle","À échéance")))</f>
        <v/>
      </c>
      <c r="L88" s="33">
        <f>IF(K88="En retard",DateAnalyse-E88,0)</f>
        <v/>
      </c>
      <c r="M88" s="30">
        <f>IF(J88&lt;=0.5,"Soldée",IF(L88=0,"Non échue",IF(L88&lt;=30,"1–30 j",IF(L88&lt;=60,"31–60 j",IF(L88&lt;=90,"61–90 j","&gt; 90 j")))))</f>
        <v/>
      </c>
    </row>
    <row r="89">
      <c r="A89" s="30" t="inlineStr">
        <is>
          <t>FA-2026-0088</t>
        </is>
      </c>
      <c r="B89" s="31" t="n">
        <v>46183</v>
      </c>
      <c r="C89" s="30" t="inlineStr">
        <is>
          <t>C07</t>
        </is>
      </c>
      <c r="D89" s="30">
        <f>IFERROR(INDEX(Clients!$B:$B,MATCH(C89,Clients!$A:$A,0)),"Client inconnu")</f>
        <v/>
      </c>
      <c r="E89" s="31">
        <f>B89+IFERROR(INDEX(Clients!$D:$D,MATCH(C89,Clients!$A:$A,0)),30)</f>
        <v/>
      </c>
      <c r="F89" s="32">
        <f>SUMIFS(Lignes!$H:$H,Lignes!$A:$A,A89)</f>
        <v/>
      </c>
      <c r="G89" s="32">
        <f>SUMIFS(Lignes!$I:$I,Lignes!$A:$A,A89)</f>
        <v/>
      </c>
      <c r="H89" s="32">
        <f>F89+G89</f>
        <v/>
      </c>
      <c r="I89" s="32">
        <f>SUMIFS(Encaissements!$E:$E,Encaissements!$B:$B,A89)</f>
        <v/>
      </c>
      <c r="J89" s="32">
        <f>ROUND(H89-I89,2)</f>
        <v/>
      </c>
      <c r="K89" s="30">
        <f>IF(J89&lt;=0.5,"Payée",IF(DateAnalyse&gt;E89,"En retard",IF(I89&gt;0,"Partielle","À échéance")))</f>
        <v/>
      </c>
      <c r="L89" s="33">
        <f>IF(K89="En retard",DateAnalyse-E89,0)</f>
        <v/>
      </c>
      <c r="M89" s="30">
        <f>IF(J89&lt;=0.5,"Soldée",IF(L89=0,"Non échue",IF(L89&lt;=30,"1–30 j",IF(L89&lt;=60,"31–60 j",IF(L89&lt;=90,"61–90 j","&gt; 90 j")))))</f>
        <v/>
      </c>
    </row>
    <row r="90">
      <c r="A90" s="30" t="inlineStr">
        <is>
          <t>FA-2026-0089</t>
        </is>
      </c>
      <c r="B90" s="31" t="n">
        <v>46184</v>
      </c>
      <c r="C90" s="30" t="inlineStr">
        <is>
          <t>C02</t>
        </is>
      </c>
      <c r="D90" s="30">
        <f>IFERROR(INDEX(Clients!$B:$B,MATCH(C90,Clients!$A:$A,0)),"Client inconnu")</f>
        <v/>
      </c>
      <c r="E90" s="31">
        <f>B90+IFERROR(INDEX(Clients!$D:$D,MATCH(C90,Clients!$A:$A,0)),30)</f>
        <v/>
      </c>
      <c r="F90" s="32">
        <f>SUMIFS(Lignes!$H:$H,Lignes!$A:$A,A90)</f>
        <v/>
      </c>
      <c r="G90" s="32">
        <f>SUMIFS(Lignes!$I:$I,Lignes!$A:$A,A90)</f>
        <v/>
      </c>
      <c r="H90" s="32">
        <f>F90+G90</f>
        <v/>
      </c>
      <c r="I90" s="32">
        <f>SUMIFS(Encaissements!$E:$E,Encaissements!$B:$B,A90)</f>
        <v/>
      </c>
      <c r="J90" s="32">
        <f>ROUND(H90-I90,2)</f>
        <v/>
      </c>
      <c r="K90" s="30">
        <f>IF(J90&lt;=0.5,"Payée",IF(DateAnalyse&gt;E90,"En retard",IF(I90&gt;0,"Partielle","À échéance")))</f>
        <v/>
      </c>
      <c r="L90" s="33">
        <f>IF(K90="En retard",DateAnalyse-E90,0)</f>
        <v/>
      </c>
      <c r="M90" s="30">
        <f>IF(J90&lt;=0.5,"Soldée",IF(L90=0,"Non échue",IF(L90&lt;=30,"1–30 j",IF(L90&lt;=60,"31–60 j",IF(L90&lt;=90,"61–90 j","&gt; 90 j")))))</f>
        <v/>
      </c>
    </row>
    <row r="91">
      <c r="A91" s="30" t="inlineStr">
        <is>
          <t>FA-2026-0090</t>
        </is>
      </c>
      <c r="B91" s="31" t="n">
        <v>46186</v>
      </c>
      <c r="C91" s="30" t="inlineStr">
        <is>
          <t>C01</t>
        </is>
      </c>
      <c r="D91" s="30">
        <f>IFERROR(INDEX(Clients!$B:$B,MATCH(C91,Clients!$A:$A,0)),"Client inconnu")</f>
        <v/>
      </c>
      <c r="E91" s="31">
        <f>B91+IFERROR(INDEX(Clients!$D:$D,MATCH(C91,Clients!$A:$A,0)),30)</f>
        <v/>
      </c>
      <c r="F91" s="32">
        <f>SUMIFS(Lignes!$H:$H,Lignes!$A:$A,A91)</f>
        <v/>
      </c>
      <c r="G91" s="32">
        <f>SUMIFS(Lignes!$I:$I,Lignes!$A:$A,A91)</f>
        <v/>
      </c>
      <c r="H91" s="32">
        <f>F91+G91</f>
        <v/>
      </c>
      <c r="I91" s="32">
        <f>SUMIFS(Encaissements!$E:$E,Encaissements!$B:$B,A91)</f>
        <v/>
      </c>
      <c r="J91" s="32">
        <f>ROUND(H91-I91,2)</f>
        <v/>
      </c>
      <c r="K91" s="30">
        <f>IF(J91&lt;=0.5,"Payée",IF(DateAnalyse&gt;E91,"En retard",IF(I91&gt;0,"Partielle","À échéance")))</f>
        <v/>
      </c>
      <c r="L91" s="33">
        <f>IF(K91="En retard",DateAnalyse-E91,0)</f>
        <v/>
      </c>
      <c r="M91" s="30">
        <f>IF(J91&lt;=0.5,"Soldée",IF(L91=0,"Non échue",IF(L91&lt;=30,"1–30 j",IF(L91&lt;=60,"31–60 j",IF(L91&lt;=90,"61–90 j","&gt; 90 j")))))</f>
        <v/>
      </c>
    </row>
    <row r="92">
      <c r="A92" s="30" t="inlineStr">
        <is>
          <t>FA-2026-0091</t>
        </is>
      </c>
      <c r="B92" s="31" t="n">
        <v>46187</v>
      </c>
      <c r="C92" s="30" t="inlineStr">
        <is>
          <t>C06</t>
        </is>
      </c>
      <c r="D92" s="30">
        <f>IFERROR(INDEX(Clients!$B:$B,MATCH(C92,Clients!$A:$A,0)),"Client inconnu")</f>
        <v/>
      </c>
      <c r="E92" s="31">
        <f>B92+IFERROR(INDEX(Clients!$D:$D,MATCH(C92,Clients!$A:$A,0)),30)</f>
        <v/>
      </c>
      <c r="F92" s="32">
        <f>SUMIFS(Lignes!$H:$H,Lignes!$A:$A,A92)</f>
        <v/>
      </c>
      <c r="G92" s="32">
        <f>SUMIFS(Lignes!$I:$I,Lignes!$A:$A,A92)</f>
        <v/>
      </c>
      <c r="H92" s="32">
        <f>F92+G92</f>
        <v/>
      </c>
      <c r="I92" s="32">
        <f>SUMIFS(Encaissements!$E:$E,Encaissements!$B:$B,A92)</f>
        <v/>
      </c>
      <c r="J92" s="32">
        <f>ROUND(H92-I92,2)</f>
        <v/>
      </c>
      <c r="K92" s="30">
        <f>IF(J92&lt;=0.5,"Payée",IF(DateAnalyse&gt;E92,"En retard",IF(I92&gt;0,"Partielle","À échéance")))</f>
        <v/>
      </c>
      <c r="L92" s="33">
        <f>IF(K92="En retard",DateAnalyse-E92,0)</f>
        <v/>
      </c>
      <c r="M92" s="30">
        <f>IF(J92&lt;=0.5,"Soldée",IF(L92=0,"Non échue",IF(L92&lt;=30,"1–30 j",IF(L92&lt;=60,"31–60 j",IF(L92&lt;=90,"61–90 j","&gt; 90 j")))))</f>
        <v/>
      </c>
    </row>
    <row r="93">
      <c r="A93" s="30" t="inlineStr">
        <is>
          <t>FA-2026-0092</t>
        </is>
      </c>
      <c r="B93" s="31" t="n">
        <v>46188</v>
      </c>
      <c r="C93" s="30" t="inlineStr">
        <is>
          <t>C01</t>
        </is>
      </c>
      <c r="D93" s="30">
        <f>IFERROR(INDEX(Clients!$B:$B,MATCH(C93,Clients!$A:$A,0)),"Client inconnu")</f>
        <v/>
      </c>
      <c r="E93" s="31">
        <f>B93+IFERROR(INDEX(Clients!$D:$D,MATCH(C93,Clients!$A:$A,0)),30)</f>
        <v/>
      </c>
      <c r="F93" s="32">
        <f>SUMIFS(Lignes!$H:$H,Lignes!$A:$A,A93)</f>
        <v/>
      </c>
      <c r="G93" s="32">
        <f>SUMIFS(Lignes!$I:$I,Lignes!$A:$A,A93)</f>
        <v/>
      </c>
      <c r="H93" s="32">
        <f>F93+G93</f>
        <v/>
      </c>
      <c r="I93" s="32">
        <f>SUMIFS(Encaissements!$E:$E,Encaissements!$B:$B,A93)</f>
        <v/>
      </c>
      <c r="J93" s="32">
        <f>ROUND(H93-I93,2)</f>
        <v/>
      </c>
      <c r="K93" s="30">
        <f>IF(J93&lt;=0.5,"Payée",IF(DateAnalyse&gt;E93,"En retard",IF(I93&gt;0,"Partielle","À échéance")))</f>
        <v/>
      </c>
      <c r="L93" s="33">
        <f>IF(K93="En retard",DateAnalyse-E93,0)</f>
        <v/>
      </c>
      <c r="M93" s="30">
        <f>IF(J93&lt;=0.5,"Soldée",IF(L93=0,"Non échue",IF(L93&lt;=30,"1–30 j",IF(L93&lt;=60,"31–60 j",IF(L93&lt;=90,"61–90 j","&gt; 90 j")))))</f>
        <v/>
      </c>
    </row>
    <row r="94">
      <c r="A94" s="30" t="inlineStr">
        <is>
          <t>FA-2026-0093</t>
        </is>
      </c>
      <c r="B94" s="31" t="n">
        <v>46189</v>
      </c>
      <c r="C94" s="30" t="inlineStr">
        <is>
          <t>C02</t>
        </is>
      </c>
      <c r="D94" s="30">
        <f>IFERROR(INDEX(Clients!$B:$B,MATCH(C94,Clients!$A:$A,0)),"Client inconnu")</f>
        <v/>
      </c>
      <c r="E94" s="31">
        <f>B94+IFERROR(INDEX(Clients!$D:$D,MATCH(C94,Clients!$A:$A,0)),30)</f>
        <v/>
      </c>
      <c r="F94" s="32">
        <f>SUMIFS(Lignes!$H:$H,Lignes!$A:$A,A94)</f>
        <v/>
      </c>
      <c r="G94" s="32">
        <f>SUMIFS(Lignes!$I:$I,Lignes!$A:$A,A94)</f>
        <v/>
      </c>
      <c r="H94" s="32">
        <f>F94+G94</f>
        <v/>
      </c>
      <c r="I94" s="32">
        <f>SUMIFS(Encaissements!$E:$E,Encaissements!$B:$B,A94)</f>
        <v/>
      </c>
      <c r="J94" s="32">
        <f>ROUND(H94-I94,2)</f>
        <v/>
      </c>
      <c r="K94" s="30">
        <f>IF(J94&lt;=0.5,"Payée",IF(DateAnalyse&gt;E94,"En retard",IF(I94&gt;0,"Partielle","À échéance")))</f>
        <v/>
      </c>
      <c r="L94" s="33">
        <f>IF(K94="En retard",DateAnalyse-E94,0)</f>
        <v/>
      </c>
      <c r="M94" s="30">
        <f>IF(J94&lt;=0.5,"Soldée",IF(L94=0,"Non échue",IF(L94&lt;=30,"1–30 j",IF(L94&lt;=60,"31–60 j",IF(L94&lt;=90,"61–90 j","&gt; 90 j")))))</f>
        <v/>
      </c>
    </row>
    <row r="95">
      <c r="A95" s="30" t="inlineStr">
        <is>
          <t>FA-2026-0094</t>
        </is>
      </c>
      <c r="B95" s="31" t="n">
        <v>46190</v>
      </c>
      <c r="C95" s="30" t="inlineStr">
        <is>
          <t>C01</t>
        </is>
      </c>
      <c r="D95" s="30">
        <f>IFERROR(INDEX(Clients!$B:$B,MATCH(C95,Clients!$A:$A,0)),"Client inconnu")</f>
        <v/>
      </c>
      <c r="E95" s="31">
        <f>B95+IFERROR(INDEX(Clients!$D:$D,MATCH(C95,Clients!$A:$A,0)),30)</f>
        <v/>
      </c>
      <c r="F95" s="32">
        <f>SUMIFS(Lignes!$H:$H,Lignes!$A:$A,A95)</f>
        <v/>
      </c>
      <c r="G95" s="32">
        <f>SUMIFS(Lignes!$I:$I,Lignes!$A:$A,A95)</f>
        <v/>
      </c>
      <c r="H95" s="32">
        <f>F95+G95</f>
        <v/>
      </c>
      <c r="I95" s="32">
        <f>SUMIFS(Encaissements!$E:$E,Encaissements!$B:$B,A95)</f>
        <v/>
      </c>
      <c r="J95" s="32">
        <f>ROUND(H95-I95,2)</f>
        <v/>
      </c>
      <c r="K95" s="30">
        <f>IF(J95&lt;=0.5,"Payée",IF(DateAnalyse&gt;E95,"En retard",IF(I95&gt;0,"Partielle","À échéance")))</f>
        <v/>
      </c>
      <c r="L95" s="33">
        <f>IF(K95="En retard",DateAnalyse-E95,0)</f>
        <v/>
      </c>
      <c r="M95" s="30">
        <f>IF(J95&lt;=0.5,"Soldée",IF(L95=0,"Non échue",IF(L95&lt;=30,"1–30 j",IF(L95&lt;=60,"31–60 j",IF(L95&lt;=90,"61–90 j","&gt; 90 j")))))</f>
        <v/>
      </c>
    </row>
    <row r="96">
      <c r="A96" s="30" t="inlineStr">
        <is>
          <t>FA-2026-0095</t>
        </is>
      </c>
      <c r="B96" s="31" t="n">
        <v>46191</v>
      </c>
      <c r="C96" s="30" t="inlineStr">
        <is>
          <t>C09</t>
        </is>
      </c>
      <c r="D96" s="30">
        <f>IFERROR(INDEX(Clients!$B:$B,MATCH(C96,Clients!$A:$A,0)),"Client inconnu")</f>
        <v/>
      </c>
      <c r="E96" s="31">
        <f>B96+IFERROR(INDEX(Clients!$D:$D,MATCH(C96,Clients!$A:$A,0)),30)</f>
        <v/>
      </c>
      <c r="F96" s="32">
        <f>SUMIFS(Lignes!$H:$H,Lignes!$A:$A,A96)</f>
        <v/>
      </c>
      <c r="G96" s="32">
        <f>SUMIFS(Lignes!$I:$I,Lignes!$A:$A,A96)</f>
        <v/>
      </c>
      <c r="H96" s="32">
        <f>F96+G96</f>
        <v/>
      </c>
      <c r="I96" s="32">
        <f>SUMIFS(Encaissements!$E:$E,Encaissements!$B:$B,A96)</f>
        <v/>
      </c>
      <c r="J96" s="32">
        <f>ROUND(H96-I96,2)</f>
        <v/>
      </c>
      <c r="K96" s="30">
        <f>IF(J96&lt;=0.5,"Payée",IF(DateAnalyse&gt;E96,"En retard",IF(I96&gt;0,"Partielle","À échéance")))</f>
        <v/>
      </c>
      <c r="L96" s="33">
        <f>IF(K96="En retard",DateAnalyse-E96,0)</f>
        <v/>
      </c>
      <c r="M96" s="30">
        <f>IF(J96&lt;=0.5,"Soldée",IF(L96=0,"Non échue",IF(L96&lt;=30,"1–30 j",IF(L96&lt;=60,"31–60 j",IF(L96&lt;=90,"61–90 j","&gt; 90 j")))))</f>
        <v/>
      </c>
    </row>
    <row r="97">
      <c r="A97" s="30" t="inlineStr">
        <is>
          <t>FA-2026-0096</t>
        </is>
      </c>
      <c r="B97" s="31" t="n">
        <v>46194</v>
      </c>
      <c r="C97" s="30" t="inlineStr">
        <is>
          <t>C04</t>
        </is>
      </c>
      <c r="D97" s="30">
        <f>IFERROR(INDEX(Clients!$B:$B,MATCH(C97,Clients!$A:$A,0)),"Client inconnu")</f>
        <v/>
      </c>
      <c r="E97" s="31">
        <f>B97+IFERROR(INDEX(Clients!$D:$D,MATCH(C97,Clients!$A:$A,0)),30)</f>
        <v/>
      </c>
      <c r="F97" s="32">
        <f>SUMIFS(Lignes!$H:$H,Lignes!$A:$A,A97)</f>
        <v/>
      </c>
      <c r="G97" s="32">
        <f>SUMIFS(Lignes!$I:$I,Lignes!$A:$A,A97)</f>
        <v/>
      </c>
      <c r="H97" s="32">
        <f>F97+G97</f>
        <v/>
      </c>
      <c r="I97" s="32">
        <f>SUMIFS(Encaissements!$E:$E,Encaissements!$B:$B,A97)</f>
        <v/>
      </c>
      <c r="J97" s="32">
        <f>ROUND(H97-I97,2)</f>
        <v/>
      </c>
      <c r="K97" s="30">
        <f>IF(J97&lt;=0.5,"Payée",IF(DateAnalyse&gt;E97,"En retard",IF(I97&gt;0,"Partielle","À échéance")))</f>
        <v/>
      </c>
      <c r="L97" s="33">
        <f>IF(K97="En retard",DateAnalyse-E97,0)</f>
        <v/>
      </c>
      <c r="M97" s="30">
        <f>IF(J97&lt;=0.5,"Soldée",IF(L97=0,"Non échue",IF(L97&lt;=30,"1–30 j",IF(L97&lt;=60,"31–60 j",IF(L97&lt;=90,"61–90 j","&gt; 90 j")))))</f>
        <v/>
      </c>
    </row>
    <row r="98">
      <c r="A98" s="30" t="inlineStr">
        <is>
          <t>FA-2026-0097</t>
        </is>
      </c>
      <c r="B98" s="31" t="n">
        <v>46195</v>
      </c>
      <c r="C98" s="30" t="inlineStr">
        <is>
          <t>C01</t>
        </is>
      </c>
      <c r="D98" s="30">
        <f>IFERROR(INDEX(Clients!$B:$B,MATCH(C98,Clients!$A:$A,0)),"Client inconnu")</f>
        <v/>
      </c>
      <c r="E98" s="31">
        <f>B98+IFERROR(INDEX(Clients!$D:$D,MATCH(C98,Clients!$A:$A,0)),30)</f>
        <v/>
      </c>
      <c r="F98" s="32">
        <f>SUMIFS(Lignes!$H:$H,Lignes!$A:$A,A98)</f>
        <v/>
      </c>
      <c r="G98" s="32">
        <f>SUMIFS(Lignes!$I:$I,Lignes!$A:$A,A98)</f>
        <v/>
      </c>
      <c r="H98" s="32">
        <f>F98+G98</f>
        <v/>
      </c>
      <c r="I98" s="32">
        <f>SUMIFS(Encaissements!$E:$E,Encaissements!$B:$B,A98)</f>
        <v/>
      </c>
      <c r="J98" s="32">
        <f>ROUND(H98-I98,2)</f>
        <v/>
      </c>
      <c r="K98" s="30">
        <f>IF(J98&lt;=0.5,"Payée",IF(DateAnalyse&gt;E98,"En retard",IF(I98&gt;0,"Partielle","À échéance")))</f>
        <v/>
      </c>
      <c r="L98" s="33">
        <f>IF(K98="En retard",DateAnalyse-E98,0)</f>
        <v/>
      </c>
      <c r="M98" s="30">
        <f>IF(J98&lt;=0.5,"Soldée",IF(L98=0,"Non échue",IF(L98&lt;=30,"1–30 j",IF(L98&lt;=60,"31–60 j",IF(L98&lt;=90,"61–90 j","&gt; 90 j")))))</f>
        <v/>
      </c>
    </row>
    <row r="99">
      <c r="A99" s="30" t="inlineStr">
        <is>
          <t>FA-2026-0098</t>
        </is>
      </c>
      <c r="B99" s="31" t="n">
        <v>46197</v>
      </c>
      <c r="C99" s="30" t="inlineStr">
        <is>
          <t>C09</t>
        </is>
      </c>
      <c r="D99" s="30">
        <f>IFERROR(INDEX(Clients!$B:$B,MATCH(C99,Clients!$A:$A,0)),"Client inconnu")</f>
        <v/>
      </c>
      <c r="E99" s="31">
        <f>B99+IFERROR(INDEX(Clients!$D:$D,MATCH(C99,Clients!$A:$A,0)),30)</f>
        <v/>
      </c>
      <c r="F99" s="32">
        <f>SUMIFS(Lignes!$H:$H,Lignes!$A:$A,A99)</f>
        <v/>
      </c>
      <c r="G99" s="32">
        <f>SUMIFS(Lignes!$I:$I,Lignes!$A:$A,A99)</f>
        <v/>
      </c>
      <c r="H99" s="32">
        <f>F99+G99</f>
        <v/>
      </c>
      <c r="I99" s="32">
        <f>SUMIFS(Encaissements!$E:$E,Encaissements!$B:$B,A99)</f>
        <v/>
      </c>
      <c r="J99" s="32">
        <f>ROUND(H99-I99,2)</f>
        <v/>
      </c>
      <c r="K99" s="30">
        <f>IF(J99&lt;=0.5,"Payée",IF(DateAnalyse&gt;E99,"En retard",IF(I99&gt;0,"Partielle","À échéance")))</f>
        <v/>
      </c>
      <c r="L99" s="33">
        <f>IF(K99="En retard",DateAnalyse-E99,0)</f>
        <v/>
      </c>
      <c r="M99" s="30">
        <f>IF(J99&lt;=0.5,"Soldée",IF(L99=0,"Non échue",IF(L99&lt;=30,"1–30 j",IF(L99&lt;=60,"31–60 j",IF(L99&lt;=90,"61–90 j","&gt; 90 j")))))</f>
        <v/>
      </c>
    </row>
    <row r="100">
      <c r="A100" s="30" t="inlineStr">
        <is>
          <t>FA-2026-0099</t>
        </is>
      </c>
      <c r="B100" s="31" t="n">
        <v>46201</v>
      </c>
      <c r="C100" s="30" t="inlineStr">
        <is>
          <t>C04</t>
        </is>
      </c>
      <c r="D100" s="30">
        <f>IFERROR(INDEX(Clients!$B:$B,MATCH(C100,Clients!$A:$A,0)),"Client inconnu")</f>
        <v/>
      </c>
      <c r="E100" s="31">
        <f>B100+IFERROR(INDEX(Clients!$D:$D,MATCH(C100,Clients!$A:$A,0)),30)</f>
        <v/>
      </c>
      <c r="F100" s="32">
        <f>SUMIFS(Lignes!$H:$H,Lignes!$A:$A,A100)</f>
        <v/>
      </c>
      <c r="G100" s="32">
        <f>SUMIFS(Lignes!$I:$I,Lignes!$A:$A,A100)</f>
        <v/>
      </c>
      <c r="H100" s="32">
        <f>F100+G100</f>
        <v/>
      </c>
      <c r="I100" s="32">
        <f>SUMIFS(Encaissements!$E:$E,Encaissements!$B:$B,A100)</f>
        <v/>
      </c>
      <c r="J100" s="32">
        <f>ROUND(H100-I100,2)</f>
        <v/>
      </c>
      <c r="K100" s="30">
        <f>IF(J100&lt;=0.5,"Payée",IF(DateAnalyse&gt;E100,"En retard",IF(I100&gt;0,"Partielle","À échéance")))</f>
        <v/>
      </c>
      <c r="L100" s="33">
        <f>IF(K100="En retard",DateAnalyse-E100,0)</f>
        <v/>
      </c>
      <c r="M100" s="30">
        <f>IF(J100&lt;=0.5,"Soldée",IF(L100=0,"Non échue",IF(L100&lt;=30,"1–30 j",IF(L100&lt;=60,"31–60 j",IF(L100&lt;=90,"61–90 j","&gt; 90 j")))))</f>
        <v/>
      </c>
    </row>
    <row r="101">
      <c r="A101" s="30" t="inlineStr">
        <is>
          <t>FA-2026-0100</t>
        </is>
      </c>
      <c r="B101" s="31" t="n">
        <v>46201</v>
      </c>
      <c r="C101" s="30" t="inlineStr">
        <is>
          <t>C08</t>
        </is>
      </c>
      <c r="D101" s="30">
        <f>IFERROR(INDEX(Clients!$B:$B,MATCH(C101,Clients!$A:$A,0)),"Client inconnu")</f>
        <v/>
      </c>
      <c r="E101" s="31">
        <f>B101+IFERROR(INDEX(Clients!$D:$D,MATCH(C101,Clients!$A:$A,0)),30)</f>
        <v/>
      </c>
      <c r="F101" s="32">
        <f>SUMIFS(Lignes!$H:$H,Lignes!$A:$A,A101)</f>
        <v/>
      </c>
      <c r="G101" s="32">
        <f>SUMIFS(Lignes!$I:$I,Lignes!$A:$A,A101)</f>
        <v/>
      </c>
      <c r="H101" s="32">
        <f>F101+G101</f>
        <v/>
      </c>
      <c r="I101" s="32">
        <f>SUMIFS(Encaissements!$E:$E,Encaissements!$B:$B,A101)</f>
        <v/>
      </c>
      <c r="J101" s="32">
        <f>ROUND(H101-I101,2)</f>
        <v/>
      </c>
      <c r="K101" s="30">
        <f>IF(J101&lt;=0.5,"Payée",IF(DateAnalyse&gt;E101,"En retard",IF(I101&gt;0,"Partielle","À échéance")))</f>
        <v/>
      </c>
      <c r="L101" s="33">
        <f>IF(K101="En retard",DateAnalyse-E101,0)</f>
        <v/>
      </c>
      <c r="M101" s="30">
        <f>IF(J101&lt;=0.5,"Soldée",IF(L101=0,"Non échue",IF(L101&lt;=30,"1–30 j",IF(L101&lt;=60,"31–60 j",IF(L101&lt;=90,"61–90 j","&gt; 90 j")))))</f>
        <v/>
      </c>
    </row>
    <row r="102">
      <c r="A102" s="30" t="inlineStr">
        <is>
          <t>FA-2026-0101</t>
        </is>
      </c>
      <c r="B102" s="31" t="n">
        <v>46204</v>
      </c>
      <c r="C102" s="30" t="inlineStr">
        <is>
          <t>C08</t>
        </is>
      </c>
      <c r="D102" s="30">
        <f>IFERROR(INDEX(Clients!$B:$B,MATCH(C102,Clients!$A:$A,0)),"Client inconnu")</f>
        <v/>
      </c>
      <c r="E102" s="31">
        <f>B102+IFERROR(INDEX(Clients!$D:$D,MATCH(C102,Clients!$A:$A,0)),30)</f>
        <v/>
      </c>
      <c r="F102" s="32">
        <f>SUMIFS(Lignes!$H:$H,Lignes!$A:$A,A102)</f>
        <v/>
      </c>
      <c r="G102" s="32">
        <f>SUMIFS(Lignes!$I:$I,Lignes!$A:$A,A102)</f>
        <v/>
      </c>
      <c r="H102" s="32">
        <f>F102+G102</f>
        <v/>
      </c>
      <c r="I102" s="32">
        <f>SUMIFS(Encaissements!$E:$E,Encaissements!$B:$B,A102)</f>
        <v/>
      </c>
      <c r="J102" s="32">
        <f>ROUND(H102-I102,2)</f>
        <v/>
      </c>
      <c r="K102" s="30">
        <f>IF(J102&lt;=0.5,"Payée",IF(DateAnalyse&gt;E102,"En retard",IF(I102&gt;0,"Partielle","À échéance")))</f>
        <v/>
      </c>
      <c r="L102" s="33">
        <f>IF(K102="En retard",DateAnalyse-E102,0)</f>
        <v/>
      </c>
      <c r="M102" s="30">
        <f>IF(J102&lt;=0.5,"Soldée",IF(L102=0,"Non échue",IF(L102&lt;=30,"1–30 j",IF(L102&lt;=60,"31–60 j",IF(L102&lt;=90,"61–90 j","&gt; 90 j")))))</f>
        <v/>
      </c>
    </row>
    <row r="103">
      <c r="A103" s="30" t="inlineStr">
        <is>
          <t>FA-2026-0102</t>
        </is>
      </c>
      <c r="B103" s="31" t="n">
        <v>46205</v>
      </c>
      <c r="C103" s="30" t="inlineStr">
        <is>
          <t>C10</t>
        </is>
      </c>
      <c r="D103" s="30">
        <f>IFERROR(INDEX(Clients!$B:$B,MATCH(C103,Clients!$A:$A,0)),"Client inconnu")</f>
        <v/>
      </c>
      <c r="E103" s="31">
        <f>B103+IFERROR(INDEX(Clients!$D:$D,MATCH(C103,Clients!$A:$A,0)),30)</f>
        <v/>
      </c>
      <c r="F103" s="32">
        <f>SUMIFS(Lignes!$H:$H,Lignes!$A:$A,A103)</f>
        <v/>
      </c>
      <c r="G103" s="32">
        <f>SUMIFS(Lignes!$I:$I,Lignes!$A:$A,A103)</f>
        <v/>
      </c>
      <c r="H103" s="32">
        <f>F103+G103</f>
        <v/>
      </c>
      <c r="I103" s="32">
        <f>SUMIFS(Encaissements!$E:$E,Encaissements!$B:$B,A103)</f>
        <v/>
      </c>
      <c r="J103" s="32">
        <f>ROUND(H103-I103,2)</f>
        <v/>
      </c>
      <c r="K103" s="30">
        <f>IF(J103&lt;=0.5,"Payée",IF(DateAnalyse&gt;E103,"En retard",IF(I103&gt;0,"Partielle","À échéance")))</f>
        <v/>
      </c>
      <c r="L103" s="33">
        <f>IF(K103="En retard",DateAnalyse-E103,0)</f>
        <v/>
      </c>
      <c r="M103" s="30">
        <f>IF(J103&lt;=0.5,"Soldée",IF(L103=0,"Non échue",IF(L103&lt;=30,"1–30 j",IF(L103&lt;=60,"31–60 j",IF(L103&lt;=90,"61–90 j","&gt; 90 j")))))</f>
        <v/>
      </c>
    </row>
    <row r="104">
      <c r="A104" s="30" t="inlineStr">
        <is>
          <t>FA-2026-0103</t>
        </is>
      </c>
      <c r="B104" s="31" t="n">
        <v>46205</v>
      </c>
      <c r="C104" s="30" t="inlineStr">
        <is>
          <t>C06</t>
        </is>
      </c>
      <c r="D104" s="30">
        <f>IFERROR(INDEX(Clients!$B:$B,MATCH(C104,Clients!$A:$A,0)),"Client inconnu")</f>
        <v/>
      </c>
      <c r="E104" s="31">
        <f>B104+IFERROR(INDEX(Clients!$D:$D,MATCH(C104,Clients!$A:$A,0)),30)</f>
        <v/>
      </c>
      <c r="F104" s="32">
        <f>SUMIFS(Lignes!$H:$H,Lignes!$A:$A,A104)</f>
        <v/>
      </c>
      <c r="G104" s="32">
        <f>SUMIFS(Lignes!$I:$I,Lignes!$A:$A,A104)</f>
        <v/>
      </c>
      <c r="H104" s="32">
        <f>F104+G104</f>
        <v/>
      </c>
      <c r="I104" s="32">
        <f>SUMIFS(Encaissements!$E:$E,Encaissements!$B:$B,A104)</f>
        <v/>
      </c>
      <c r="J104" s="32">
        <f>ROUND(H104-I104,2)</f>
        <v/>
      </c>
      <c r="K104" s="30">
        <f>IF(J104&lt;=0.5,"Payée",IF(DateAnalyse&gt;E104,"En retard",IF(I104&gt;0,"Partielle","À échéance")))</f>
        <v/>
      </c>
      <c r="L104" s="33">
        <f>IF(K104="En retard",DateAnalyse-E104,0)</f>
        <v/>
      </c>
      <c r="M104" s="30">
        <f>IF(J104&lt;=0.5,"Soldée",IF(L104=0,"Non échue",IF(L104&lt;=30,"1–30 j",IF(L104&lt;=60,"31–60 j",IF(L104&lt;=90,"61–90 j","&gt; 90 j")))))</f>
        <v/>
      </c>
    </row>
    <row r="105">
      <c r="A105" s="30" t="inlineStr">
        <is>
          <t>FA-2026-0104</t>
        </is>
      </c>
      <c r="B105" s="31" t="n">
        <v>46208</v>
      </c>
      <c r="C105" s="30" t="inlineStr">
        <is>
          <t>C09</t>
        </is>
      </c>
      <c r="D105" s="30">
        <f>IFERROR(INDEX(Clients!$B:$B,MATCH(C105,Clients!$A:$A,0)),"Client inconnu")</f>
        <v/>
      </c>
      <c r="E105" s="31">
        <f>B105+IFERROR(INDEX(Clients!$D:$D,MATCH(C105,Clients!$A:$A,0)),30)</f>
        <v/>
      </c>
      <c r="F105" s="32">
        <f>SUMIFS(Lignes!$H:$H,Lignes!$A:$A,A105)</f>
        <v/>
      </c>
      <c r="G105" s="32">
        <f>SUMIFS(Lignes!$I:$I,Lignes!$A:$A,A105)</f>
        <v/>
      </c>
      <c r="H105" s="32">
        <f>F105+G105</f>
        <v/>
      </c>
      <c r="I105" s="32">
        <f>SUMIFS(Encaissements!$E:$E,Encaissements!$B:$B,A105)</f>
        <v/>
      </c>
      <c r="J105" s="32">
        <f>ROUND(H105-I105,2)</f>
        <v/>
      </c>
      <c r="K105" s="30">
        <f>IF(J105&lt;=0.5,"Payée",IF(DateAnalyse&gt;E105,"En retard",IF(I105&gt;0,"Partielle","À échéance")))</f>
        <v/>
      </c>
      <c r="L105" s="33">
        <f>IF(K105="En retard",DateAnalyse-E105,0)</f>
        <v/>
      </c>
      <c r="M105" s="30">
        <f>IF(J105&lt;=0.5,"Soldée",IF(L105=0,"Non échue",IF(L105&lt;=30,"1–30 j",IF(L105&lt;=60,"31–60 j",IF(L105&lt;=90,"61–90 j","&gt; 90 j")))))</f>
        <v/>
      </c>
    </row>
    <row r="106">
      <c r="A106" s="30" t="inlineStr">
        <is>
          <t>FA-2026-0105</t>
        </is>
      </c>
      <c r="B106" s="31" t="n">
        <v>46209</v>
      </c>
      <c r="C106" s="30" t="inlineStr">
        <is>
          <t>C10</t>
        </is>
      </c>
      <c r="D106" s="30">
        <f>IFERROR(INDEX(Clients!$B:$B,MATCH(C106,Clients!$A:$A,0)),"Client inconnu")</f>
        <v/>
      </c>
      <c r="E106" s="31">
        <f>B106+IFERROR(INDEX(Clients!$D:$D,MATCH(C106,Clients!$A:$A,0)),30)</f>
        <v/>
      </c>
      <c r="F106" s="32">
        <f>SUMIFS(Lignes!$H:$H,Lignes!$A:$A,A106)</f>
        <v/>
      </c>
      <c r="G106" s="32">
        <f>SUMIFS(Lignes!$I:$I,Lignes!$A:$A,A106)</f>
        <v/>
      </c>
      <c r="H106" s="32">
        <f>F106+G106</f>
        <v/>
      </c>
      <c r="I106" s="32">
        <f>SUMIFS(Encaissements!$E:$E,Encaissements!$B:$B,A106)</f>
        <v/>
      </c>
      <c r="J106" s="32">
        <f>ROUND(H106-I106,2)</f>
        <v/>
      </c>
      <c r="K106" s="30">
        <f>IF(J106&lt;=0.5,"Payée",IF(DateAnalyse&gt;E106,"En retard",IF(I106&gt;0,"Partielle","À échéance")))</f>
        <v/>
      </c>
      <c r="L106" s="33">
        <f>IF(K106="En retard",DateAnalyse-E106,0)</f>
        <v/>
      </c>
      <c r="M106" s="30">
        <f>IF(J106&lt;=0.5,"Soldée",IF(L106=0,"Non échue",IF(L106&lt;=30,"1–30 j",IF(L106&lt;=60,"31–60 j",IF(L106&lt;=90,"61–90 j","&gt; 90 j")))))</f>
        <v/>
      </c>
    </row>
    <row r="107">
      <c r="A107" s="30" t="inlineStr">
        <is>
          <t>FA-2026-0106</t>
        </is>
      </c>
      <c r="B107" s="31" t="n">
        <v>46211</v>
      </c>
      <c r="C107" s="30" t="inlineStr">
        <is>
          <t>C04</t>
        </is>
      </c>
      <c r="D107" s="30">
        <f>IFERROR(INDEX(Clients!$B:$B,MATCH(C107,Clients!$A:$A,0)),"Client inconnu")</f>
        <v/>
      </c>
      <c r="E107" s="31">
        <f>B107+IFERROR(INDEX(Clients!$D:$D,MATCH(C107,Clients!$A:$A,0)),30)</f>
        <v/>
      </c>
      <c r="F107" s="32">
        <f>SUMIFS(Lignes!$H:$H,Lignes!$A:$A,A107)</f>
        <v/>
      </c>
      <c r="G107" s="32">
        <f>SUMIFS(Lignes!$I:$I,Lignes!$A:$A,A107)</f>
        <v/>
      </c>
      <c r="H107" s="32">
        <f>F107+G107</f>
        <v/>
      </c>
      <c r="I107" s="32">
        <f>SUMIFS(Encaissements!$E:$E,Encaissements!$B:$B,A107)</f>
        <v/>
      </c>
      <c r="J107" s="32">
        <f>ROUND(H107-I107,2)</f>
        <v/>
      </c>
      <c r="K107" s="30">
        <f>IF(J107&lt;=0.5,"Payée",IF(DateAnalyse&gt;E107,"En retard",IF(I107&gt;0,"Partielle","À échéance")))</f>
        <v/>
      </c>
      <c r="L107" s="33">
        <f>IF(K107="En retard",DateAnalyse-E107,0)</f>
        <v/>
      </c>
      <c r="M107" s="30">
        <f>IF(J107&lt;=0.5,"Soldée",IF(L107=0,"Non échue",IF(L107&lt;=30,"1–30 j",IF(L107&lt;=60,"31–60 j",IF(L107&lt;=90,"61–90 j","&gt; 90 j")))))</f>
        <v/>
      </c>
    </row>
    <row r="108">
      <c r="A108" s="30" t="inlineStr">
        <is>
          <t>FA-2026-0107</t>
        </is>
      </c>
      <c r="B108" s="31" t="n">
        <v>46212</v>
      </c>
      <c r="C108" s="30" t="inlineStr">
        <is>
          <t>C01</t>
        </is>
      </c>
      <c r="D108" s="30">
        <f>IFERROR(INDEX(Clients!$B:$B,MATCH(C108,Clients!$A:$A,0)),"Client inconnu")</f>
        <v/>
      </c>
      <c r="E108" s="31">
        <f>B108+IFERROR(INDEX(Clients!$D:$D,MATCH(C108,Clients!$A:$A,0)),30)</f>
        <v/>
      </c>
      <c r="F108" s="32">
        <f>SUMIFS(Lignes!$H:$H,Lignes!$A:$A,A108)</f>
        <v/>
      </c>
      <c r="G108" s="32">
        <f>SUMIFS(Lignes!$I:$I,Lignes!$A:$A,A108)</f>
        <v/>
      </c>
      <c r="H108" s="32">
        <f>F108+G108</f>
        <v/>
      </c>
      <c r="I108" s="32">
        <f>SUMIFS(Encaissements!$E:$E,Encaissements!$B:$B,A108)</f>
        <v/>
      </c>
      <c r="J108" s="32">
        <f>ROUND(H108-I108,2)</f>
        <v/>
      </c>
      <c r="K108" s="30">
        <f>IF(J108&lt;=0.5,"Payée",IF(DateAnalyse&gt;E108,"En retard",IF(I108&gt;0,"Partielle","À échéance")))</f>
        <v/>
      </c>
      <c r="L108" s="33">
        <f>IF(K108="En retard",DateAnalyse-E108,0)</f>
        <v/>
      </c>
      <c r="M108" s="30">
        <f>IF(J108&lt;=0.5,"Soldée",IF(L108=0,"Non échue",IF(L108&lt;=30,"1–30 j",IF(L108&lt;=60,"31–60 j",IF(L108&lt;=90,"61–90 j","&gt; 90 j")))))</f>
        <v/>
      </c>
    </row>
    <row r="109">
      <c r="A109" s="30" t="inlineStr">
        <is>
          <t>FA-2026-0108</t>
        </is>
      </c>
      <c r="B109" s="31" t="n">
        <v>46214</v>
      </c>
      <c r="C109" s="30" t="inlineStr">
        <is>
          <t>C12</t>
        </is>
      </c>
      <c r="D109" s="30">
        <f>IFERROR(INDEX(Clients!$B:$B,MATCH(C109,Clients!$A:$A,0)),"Client inconnu")</f>
        <v/>
      </c>
      <c r="E109" s="31">
        <f>B109+IFERROR(INDEX(Clients!$D:$D,MATCH(C109,Clients!$A:$A,0)),30)</f>
        <v/>
      </c>
      <c r="F109" s="32">
        <f>SUMIFS(Lignes!$H:$H,Lignes!$A:$A,A109)</f>
        <v/>
      </c>
      <c r="G109" s="32">
        <f>SUMIFS(Lignes!$I:$I,Lignes!$A:$A,A109)</f>
        <v/>
      </c>
      <c r="H109" s="32">
        <f>F109+G109</f>
        <v/>
      </c>
      <c r="I109" s="32">
        <f>SUMIFS(Encaissements!$E:$E,Encaissements!$B:$B,A109)</f>
        <v/>
      </c>
      <c r="J109" s="32">
        <f>ROUND(H109-I109,2)</f>
        <v/>
      </c>
      <c r="K109" s="30">
        <f>IF(J109&lt;=0.5,"Payée",IF(DateAnalyse&gt;E109,"En retard",IF(I109&gt;0,"Partielle","À échéance")))</f>
        <v/>
      </c>
      <c r="L109" s="33">
        <f>IF(K109="En retard",DateAnalyse-E109,0)</f>
        <v/>
      </c>
      <c r="M109" s="30">
        <f>IF(J109&lt;=0.5,"Soldée",IF(L109=0,"Non échue",IF(L109&lt;=30,"1–30 j",IF(L109&lt;=60,"31–60 j",IF(L109&lt;=90,"61–90 j","&gt; 90 j")))))</f>
        <v/>
      </c>
    </row>
    <row r="110">
      <c r="A110" s="30" t="inlineStr">
        <is>
          <t>FA-2026-0109</t>
        </is>
      </c>
      <c r="B110" s="31" t="n">
        <v>46216</v>
      </c>
      <c r="C110" s="30" t="inlineStr">
        <is>
          <t>C04</t>
        </is>
      </c>
      <c r="D110" s="30">
        <f>IFERROR(INDEX(Clients!$B:$B,MATCH(C110,Clients!$A:$A,0)),"Client inconnu")</f>
        <v/>
      </c>
      <c r="E110" s="31">
        <f>B110+IFERROR(INDEX(Clients!$D:$D,MATCH(C110,Clients!$A:$A,0)),30)</f>
        <v/>
      </c>
      <c r="F110" s="32">
        <f>SUMIFS(Lignes!$H:$H,Lignes!$A:$A,A110)</f>
        <v/>
      </c>
      <c r="G110" s="32">
        <f>SUMIFS(Lignes!$I:$I,Lignes!$A:$A,A110)</f>
        <v/>
      </c>
      <c r="H110" s="32">
        <f>F110+G110</f>
        <v/>
      </c>
      <c r="I110" s="32">
        <f>SUMIFS(Encaissements!$E:$E,Encaissements!$B:$B,A110)</f>
        <v/>
      </c>
      <c r="J110" s="32">
        <f>ROUND(H110-I110,2)</f>
        <v/>
      </c>
      <c r="K110" s="30">
        <f>IF(J110&lt;=0.5,"Payée",IF(DateAnalyse&gt;E110,"En retard",IF(I110&gt;0,"Partielle","À échéance")))</f>
        <v/>
      </c>
      <c r="L110" s="33">
        <f>IF(K110="En retard",DateAnalyse-E110,0)</f>
        <v/>
      </c>
      <c r="M110" s="30">
        <f>IF(J110&lt;=0.5,"Soldée",IF(L110=0,"Non échue",IF(L110&lt;=30,"1–30 j",IF(L110&lt;=60,"31–60 j",IF(L110&lt;=90,"61–90 j","&gt; 90 j")))))</f>
        <v/>
      </c>
    </row>
    <row r="111">
      <c r="A111" s="30" t="inlineStr">
        <is>
          <t>FA-2026-0110</t>
        </is>
      </c>
      <c r="B111" s="31" t="n">
        <v>46218</v>
      </c>
      <c r="C111" s="30" t="inlineStr">
        <is>
          <t>C02</t>
        </is>
      </c>
      <c r="D111" s="30">
        <f>IFERROR(INDEX(Clients!$B:$B,MATCH(C111,Clients!$A:$A,0)),"Client inconnu")</f>
        <v/>
      </c>
      <c r="E111" s="31">
        <f>B111+IFERROR(INDEX(Clients!$D:$D,MATCH(C111,Clients!$A:$A,0)),30)</f>
        <v/>
      </c>
      <c r="F111" s="32">
        <f>SUMIFS(Lignes!$H:$H,Lignes!$A:$A,A111)</f>
        <v/>
      </c>
      <c r="G111" s="32">
        <f>SUMIFS(Lignes!$I:$I,Lignes!$A:$A,A111)</f>
        <v/>
      </c>
      <c r="H111" s="32">
        <f>F111+G111</f>
        <v/>
      </c>
      <c r="I111" s="32">
        <f>SUMIFS(Encaissements!$E:$E,Encaissements!$B:$B,A111)</f>
        <v/>
      </c>
      <c r="J111" s="32">
        <f>ROUND(H111-I111,2)</f>
        <v/>
      </c>
      <c r="K111" s="30">
        <f>IF(J111&lt;=0.5,"Payée",IF(DateAnalyse&gt;E111,"En retard",IF(I111&gt;0,"Partielle","À échéance")))</f>
        <v/>
      </c>
      <c r="L111" s="33">
        <f>IF(K111="En retard",DateAnalyse-E111,0)</f>
        <v/>
      </c>
      <c r="M111" s="30">
        <f>IF(J111&lt;=0.5,"Soldée",IF(L111=0,"Non échue",IF(L111&lt;=30,"1–30 j",IF(L111&lt;=60,"31–60 j",IF(L111&lt;=90,"61–90 j","&gt; 90 j")))))</f>
        <v/>
      </c>
    </row>
    <row r="112">
      <c r="A112" s="30" t="inlineStr">
        <is>
          <t>FA-2026-0111</t>
        </is>
      </c>
      <c r="B112" s="31" t="n">
        <v>46221</v>
      </c>
      <c r="C112" s="30" t="inlineStr">
        <is>
          <t>C01</t>
        </is>
      </c>
      <c r="D112" s="30">
        <f>IFERROR(INDEX(Clients!$B:$B,MATCH(C112,Clients!$A:$A,0)),"Client inconnu")</f>
        <v/>
      </c>
      <c r="E112" s="31">
        <f>B112+IFERROR(INDEX(Clients!$D:$D,MATCH(C112,Clients!$A:$A,0)),30)</f>
        <v/>
      </c>
      <c r="F112" s="32">
        <f>SUMIFS(Lignes!$H:$H,Lignes!$A:$A,A112)</f>
        <v/>
      </c>
      <c r="G112" s="32">
        <f>SUMIFS(Lignes!$I:$I,Lignes!$A:$A,A112)</f>
        <v/>
      </c>
      <c r="H112" s="32">
        <f>F112+G112</f>
        <v/>
      </c>
      <c r="I112" s="32">
        <f>SUMIFS(Encaissements!$E:$E,Encaissements!$B:$B,A112)</f>
        <v/>
      </c>
      <c r="J112" s="32">
        <f>ROUND(H112-I112,2)</f>
        <v/>
      </c>
      <c r="K112" s="30">
        <f>IF(J112&lt;=0.5,"Payée",IF(DateAnalyse&gt;E112,"En retard",IF(I112&gt;0,"Partielle","À échéance")))</f>
        <v/>
      </c>
      <c r="L112" s="33">
        <f>IF(K112="En retard",DateAnalyse-E112,0)</f>
        <v/>
      </c>
      <c r="M112" s="30">
        <f>IF(J112&lt;=0.5,"Soldée",IF(L112=0,"Non échue",IF(L112&lt;=30,"1–30 j",IF(L112&lt;=60,"31–60 j",IF(L112&lt;=90,"61–90 j","&gt; 90 j")))))</f>
        <v/>
      </c>
    </row>
    <row r="113">
      <c r="A113" s="30" t="inlineStr">
        <is>
          <t>FA-2026-0112</t>
        </is>
      </c>
      <c r="B113" s="31" t="n">
        <v>46222</v>
      </c>
      <c r="C113" s="30" t="inlineStr">
        <is>
          <t>C03</t>
        </is>
      </c>
      <c r="D113" s="30">
        <f>IFERROR(INDEX(Clients!$B:$B,MATCH(C113,Clients!$A:$A,0)),"Client inconnu")</f>
        <v/>
      </c>
      <c r="E113" s="31">
        <f>B113+IFERROR(INDEX(Clients!$D:$D,MATCH(C113,Clients!$A:$A,0)),30)</f>
        <v/>
      </c>
      <c r="F113" s="32">
        <f>SUMIFS(Lignes!$H:$H,Lignes!$A:$A,A113)</f>
        <v/>
      </c>
      <c r="G113" s="32">
        <f>SUMIFS(Lignes!$I:$I,Lignes!$A:$A,A113)</f>
        <v/>
      </c>
      <c r="H113" s="32">
        <f>F113+G113</f>
        <v/>
      </c>
      <c r="I113" s="32">
        <f>SUMIFS(Encaissements!$E:$E,Encaissements!$B:$B,A113)</f>
        <v/>
      </c>
      <c r="J113" s="32">
        <f>ROUND(H113-I113,2)</f>
        <v/>
      </c>
      <c r="K113" s="30">
        <f>IF(J113&lt;=0.5,"Payée",IF(DateAnalyse&gt;E113,"En retard",IF(I113&gt;0,"Partielle","À échéance")))</f>
        <v/>
      </c>
      <c r="L113" s="33">
        <f>IF(K113="En retard",DateAnalyse-E113,0)</f>
        <v/>
      </c>
      <c r="M113" s="30">
        <f>IF(J113&lt;=0.5,"Soldée",IF(L113=0,"Non échue",IF(L113&lt;=30,"1–30 j",IF(L113&lt;=60,"31–60 j",IF(L113&lt;=90,"61–90 j","&gt; 90 j")))))</f>
        <v/>
      </c>
    </row>
    <row r="114">
      <c r="A114" s="30" t="inlineStr">
        <is>
          <t>FA-2026-0113</t>
        </is>
      </c>
      <c r="B114" s="31" t="n">
        <v>46223</v>
      </c>
      <c r="C114" s="30" t="inlineStr">
        <is>
          <t>C05</t>
        </is>
      </c>
      <c r="D114" s="30">
        <f>IFERROR(INDEX(Clients!$B:$B,MATCH(C114,Clients!$A:$A,0)),"Client inconnu")</f>
        <v/>
      </c>
      <c r="E114" s="31">
        <f>B114+IFERROR(INDEX(Clients!$D:$D,MATCH(C114,Clients!$A:$A,0)),30)</f>
        <v/>
      </c>
      <c r="F114" s="32">
        <f>SUMIFS(Lignes!$H:$H,Lignes!$A:$A,A114)</f>
        <v/>
      </c>
      <c r="G114" s="32">
        <f>SUMIFS(Lignes!$I:$I,Lignes!$A:$A,A114)</f>
        <v/>
      </c>
      <c r="H114" s="32">
        <f>F114+G114</f>
        <v/>
      </c>
      <c r="I114" s="32">
        <f>SUMIFS(Encaissements!$E:$E,Encaissements!$B:$B,A114)</f>
        <v/>
      </c>
      <c r="J114" s="32">
        <f>ROUND(H114-I114,2)</f>
        <v/>
      </c>
      <c r="K114" s="30">
        <f>IF(J114&lt;=0.5,"Payée",IF(DateAnalyse&gt;E114,"En retard",IF(I114&gt;0,"Partielle","À échéance")))</f>
        <v/>
      </c>
      <c r="L114" s="33">
        <f>IF(K114="En retard",DateAnalyse-E114,0)</f>
        <v/>
      </c>
      <c r="M114" s="30">
        <f>IF(J114&lt;=0.5,"Soldée",IF(L114=0,"Non échue",IF(L114&lt;=30,"1–30 j",IF(L114&lt;=60,"31–60 j",IF(L114&lt;=90,"61–90 j","&gt; 90 j")))))</f>
        <v/>
      </c>
    </row>
    <row r="115">
      <c r="A115" s="30" t="inlineStr">
        <is>
          <t>FA-2026-0114</t>
        </is>
      </c>
      <c r="B115" s="31" t="n">
        <v>46225</v>
      </c>
      <c r="C115" s="30" t="inlineStr">
        <is>
          <t>C12</t>
        </is>
      </c>
      <c r="D115" s="30">
        <f>IFERROR(INDEX(Clients!$B:$B,MATCH(C115,Clients!$A:$A,0)),"Client inconnu")</f>
        <v/>
      </c>
      <c r="E115" s="31">
        <f>B115+IFERROR(INDEX(Clients!$D:$D,MATCH(C115,Clients!$A:$A,0)),30)</f>
        <v/>
      </c>
      <c r="F115" s="32">
        <f>SUMIFS(Lignes!$H:$H,Lignes!$A:$A,A115)</f>
        <v/>
      </c>
      <c r="G115" s="32">
        <f>SUMIFS(Lignes!$I:$I,Lignes!$A:$A,A115)</f>
        <v/>
      </c>
      <c r="H115" s="32">
        <f>F115+G115</f>
        <v/>
      </c>
      <c r="I115" s="32">
        <f>SUMIFS(Encaissements!$E:$E,Encaissements!$B:$B,A115)</f>
        <v/>
      </c>
      <c r="J115" s="32">
        <f>ROUND(H115-I115,2)</f>
        <v/>
      </c>
      <c r="K115" s="30">
        <f>IF(J115&lt;=0.5,"Payée",IF(DateAnalyse&gt;E115,"En retard",IF(I115&gt;0,"Partielle","À échéance")))</f>
        <v/>
      </c>
      <c r="L115" s="33">
        <f>IF(K115="En retard",DateAnalyse-E115,0)</f>
        <v/>
      </c>
      <c r="M115" s="30">
        <f>IF(J115&lt;=0.5,"Soldée",IF(L115=0,"Non échue",IF(L115&lt;=30,"1–30 j",IF(L115&lt;=60,"31–60 j",IF(L115&lt;=90,"61–90 j","&gt; 90 j")))))</f>
        <v/>
      </c>
    </row>
    <row r="116">
      <c r="A116" s="30" t="inlineStr">
        <is>
          <t>FA-2026-0115</t>
        </is>
      </c>
      <c r="B116" s="31" t="n">
        <v>46229</v>
      </c>
      <c r="C116" s="30" t="inlineStr">
        <is>
          <t>C08</t>
        </is>
      </c>
      <c r="D116" s="30">
        <f>IFERROR(INDEX(Clients!$B:$B,MATCH(C116,Clients!$A:$A,0)),"Client inconnu")</f>
        <v/>
      </c>
      <c r="E116" s="31">
        <f>B116+IFERROR(INDEX(Clients!$D:$D,MATCH(C116,Clients!$A:$A,0)),30)</f>
        <v/>
      </c>
      <c r="F116" s="32">
        <f>SUMIFS(Lignes!$H:$H,Lignes!$A:$A,A116)</f>
        <v/>
      </c>
      <c r="G116" s="32">
        <f>SUMIFS(Lignes!$I:$I,Lignes!$A:$A,A116)</f>
        <v/>
      </c>
      <c r="H116" s="32">
        <f>F116+G116</f>
        <v/>
      </c>
      <c r="I116" s="32">
        <f>SUMIFS(Encaissements!$E:$E,Encaissements!$B:$B,A116)</f>
        <v/>
      </c>
      <c r="J116" s="32">
        <f>ROUND(H116-I116,2)</f>
        <v/>
      </c>
      <c r="K116" s="30">
        <f>IF(J116&lt;=0.5,"Payée",IF(DateAnalyse&gt;E116,"En retard",IF(I116&gt;0,"Partielle","À échéance")))</f>
        <v/>
      </c>
      <c r="L116" s="33">
        <f>IF(K116="En retard",DateAnalyse-E116,0)</f>
        <v/>
      </c>
      <c r="M116" s="30">
        <f>IF(J116&lt;=0.5,"Soldée",IF(L116=0,"Non échue",IF(L116&lt;=30,"1–30 j",IF(L116&lt;=60,"31–60 j",IF(L116&lt;=90,"61–90 j","&gt; 90 j")))))</f>
        <v/>
      </c>
    </row>
    <row r="117">
      <c r="A117" s="30" t="inlineStr">
        <is>
          <t>FA-2026-0116</t>
        </is>
      </c>
      <c r="B117" s="31" t="n">
        <v>46230</v>
      </c>
      <c r="C117" s="30" t="inlineStr">
        <is>
          <t>C01</t>
        </is>
      </c>
      <c r="D117" s="30">
        <f>IFERROR(INDEX(Clients!$B:$B,MATCH(C117,Clients!$A:$A,0)),"Client inconnu")</f>
        <v/>
      </c>
      <c r="E117" s="31">
        <f>B117+IFERROR(INDEX(Clients!$D:$D,MATCH(C117,Clients!$A:$A,0)),30)</f>
        <v/>
      </c>
      <c r="F117" s="32">
        <f>SUMIFS(Lignes!$H:$H,Lignes!$A:$A,A117)</f>
        <v/>
      </c>
      <c r="G117" s="32">
        <f>SUMIFS(Lignes!$I:$I,Lignes!$A:$A,A117)</f>
        <v/>
      </c>
      <c r="H117" s="32">
        <f>F117+G117</f>
        <v/>
      </c>
      <c r="I117" s="32">
        <f>SUMIFS(Encaissements!$E:$E,Encaissements!$B:$B,A117)</f>
        <v/>
      </c>
      <c r="J117" s="32">
        <f>ROUND(H117-I117,2)</f>
        <v/>
      </c>
      <c r="K117" s="30">
        <f>IF(J117&lt;=0.5,"Payée",IF(DateAnalyse&gt;E117,"En retard",IF(I117&gt;0,"Partielle","À échéance")))</f>
        <v/>
      </c>
      <c r="L117" s="33">
        <f>IF(K117="En retard",DateAnalyse-E117,0)</f>
        <v/>
      </c>
      <c r="M117" s="30">
        <f>IF(J117&lt;=0.5,"Soldée",IF(L117=0,"Non échue",IF(L117&lt;=30,"1–30 j",IF(L117&lt;=60,"31–60 j",IF(L117&lt;=90,"61–90 j","&gt; 90 j")))))</f>
        <v/>
      </c>
    </row>
    <row r="118">
      <c r="A118" s="30" t="inlineStr">
        <is>
          <t>FA-2026-0117</t>
        </is>
      </c>
      <c r="B118" s="31" t="n">
        <v>46231</v>
      </c>
      <c r="C118" s="30" t="inlineStr">
        <is>
          <t>C02</t>
        </is>
      </c>
      <c r="D118" s="30">
        <f>IFERROR(INDEX(Clients!$B:$B,MATCH(C118,Clients!$A:$A,0)),"Client inconnu")</f>
        <v/>
      </c>
      <c r="E118" s="31">
        <f>B118+IFERROR(INDEX(Clients!$D:$D,MATCH(C118,Clients!$A:$A,0)),30)</f>
        <v/>
      </c>
      <c r="F118" s="32">
        <f>SUMIFS(Lignes!$H:$H,Lignes!$A:$A,A118)</f>
        <v/>
      </c>
      <c r="G118" s="32">
        <f>SUMIFS(Lignes!$I:$I,Lignes!$A:$A,A118)</f>
        <v/>
      </c>
      <c r="H118" s="32">
        <f>F118+G118</f>
        <v/>
      </c>
      <c r="I118" s="32">
        <f>SUMIFS(Encaissements!$E:$E,Encaissements!$B:$B,A118)</f>
        <v/>
      </c>
      <c r="J118" s="32">
        <f>ROUND(H118-I118,2)</f>
        <v/>
      </c>
      <c r="K118" s="30">
        <f>IF(J118&lt;=0.5,"Payée",IF(DateAnalyse&gt;E118,"En retard",IF(I118&gt;0,"Partielle","À échéance")))</f>
        <v/>
      </c>
      <c r="L118" s="33">
        <f>IF(K118="En retard",DateAnalyse-E118,0)</f>
        <v/>
      </c>
      <c r="M118" s="30">
        <f>IF(J118&lt;=0.5,"Soldée",IF(L118=0,"Non échue",IF(L118&lt;=30,"1–30 j",IF(L118&lt;=60,"31–60 j",IF(L118&lt;=90,"61–90 j","&gt; 90 j")))))</f>
        <v/>
      </c>
    </row>
    <row r="119">
      <c r="A119" s="30" t="inlineStr">
        <is>
          <t>FA-2026-0118</t>
        </is>
      </c>
      <c r="B119" s="31" t="n">
        <v>46236</v>
      </c>
      <c r="C119" s="30" t="inlineStr">
        <is>
          <t>C01</t>
        </is>
      </c>
      <c r="D119" s="30">
        <f>IFERROR(INDEX(Clients!$B:$B,MATCH(C119,Clients!$A:$A,0)),"Client inconnu")</f>
        <v/>
      </c>
      <c r="E119" s="31">
        <f>B119+IFERROR(INDEX(Clients!$D:$D,MATCH(C119,Clients!$A:$A,0)),30)</f>
        <v/>
      </c>
      <c r="F119" s="32">
        <f>SUMIFS(Lignes!$H:$H,Lignes!$A:$A,A119)</f>
        <v/>
      </c>
      <c r="G119" s="32">
        <f>SUMIFS(Lignes!$I:$I,Lignes!$A:$A,A119)</f>
        <v/>
      </c>
      <c r="H119" s="32">
        <f>F119+G119</f>
        <v/>
      </c>
      <c r="I119" s="32">
        <f>SUMIFS(Encaissements!$E:$E,Encaissements!$B:$B,A119)</f>
        <v/>
      </c>
      <c r="J119" s="32">
        <f>ROUND(H119-I119,2)</f>
        <v/>
      </c>
      <c r="K119" s="30">
        <f>IF(J119&lt;=0.5,"Payée",IF(DateAnalyse&gt;E119,"En retard",IF(I119&gt;0,"Partielle","À échéance")))</f>
        <v/>
      </c>
      <c r="L119" s="33">
        <f>IF(K119="En retard",DateAnalyse-E119,0)</f>
        <v/>
      </c>
      <c r="M119" s="30">
        <f>IF(J119&lt;=0.5,"Soldée",IF(L119=0,"Non échue",IF(L119&lt;=30,"1–30 j",IF(L119&lt;=60,"31–60 j",IF(L119&lt;=90,"61–90 j","&gt; 90 j")))))</f>
        <v/>
      </c>
    </row>
    <row r="120">
      <c r="A120" s="30" t="inlineStr">
        <is>
          <t>FA-2026-0119</t>
        </is>
      </c>
      <c r="B120" s="31" t="n">
        <v>46238</v>
      </c>
      <c r="C120" s="30" t="inlineStr">
        <is>
          <t>C10</t>
        </is>
      </c>
      <c r="D120" s="30">
        <f>IFERROR(INDEX(Clients!$B:$B,MATCH(C120,Clients!$A:$A,0)),"Client inconnu")</f>
        <v/>
      </c>
      <c r="E120" s="31">
        <f>B120+IFERROR(INDEX(Clients!$D:$D,MATCH(C120,Clients!$A:$A,0)),30)</f>
        <v/>
      </c>
      <c r="F120" s="32">
        <f>SUMIFS(Lignes!$H:$H,Lignes!$A:$A,A120)</f>
        <v/>
      </c>
      <c r="G120" s="32">
        <f>SUMIFS(Lignes!$I:$I,Lignes!$A:$A,A120)</f>
        <v/>
      </c>
      <c r="H120" s="32">
        <f>F120+G120</f>
        <v/>
      </c>
      <c r="I120" s="32">
        <f>SUMIFS(Encaissements!$E:$E,Encaissements!$B:$B,A120)</f>
        <v/>
      </c>
      <c r="J120" s="32">
        <f>ROUND(H120-I120,2)</f>
        <v/>
      </c>
      <c r="K120" s="30">
        <f>IF(J120&lt;=0.5,"Payée",IF(DateAnalyse&gt;E120,"En retard",IF(I120&gt;0,"Partielle","À échéance")))</f>
        <v/>
      </c>
      <c r="L120" s="33">
        <f>IF(K120="En retard",DateAnalyse-E120,0)</f>
        <v/>
      </c>
      <c r="M120" s="30">
        <f>IF(J120&lt;=0.5,"Soldée",IF(L120=0,"Non échue",IF(L120&lt;=30,"1–30 j",IF(L120&lt;=60,"31–60 j",IF(L120&lt;=90,"61–90 j","&gt; 90 j")))))</f>
        <v/>
      </c>
    </row>
    <row r="121">
      <c r="A121" s="30" t="inlineStr">
        <is>
          <t>FA-2026-0120</t>
        </is>
      </c>
      <c r="B121" s="31" t="n">
        <v>46239</v>
      </c>
      <c r="C121" s="30" t="inlineStr">
        <is>
          <t>C09</t>
        </is>
      </c>
      <c r="D121" s="30">
        <f>IFERROR(INDEX(Clients!$B:$B,MATCH(C121,Clients!$A:$A,0)),"Client inconnu")</f>
        <v/>
      </c>
      <c r="E121" s="31">
        <f>B121+IFERROR(INDEX(Clients!$D:$D,MATCH(C121,Clients!$A:$A,0)),30)</f>
        <v/>
      </c>
      <c r="F121" s="32">
        <f>SUMIFS(Lignes!$H:$H,Lignes!$A:$A,A121)</f>
        <v/>
      </c>
      <c r="G121" s="32">
        <f>SUMIFS(Lignes!$I:$I,Lignes!$A:$A,A121)</f>
        <v/>
      </c>
      <c r="H121" s="32">
        <f>F121+G121</f>
        <v/>
      </c>
      <c r="I121" s="32">
        <f>SUMIFS(Encaissements!$E:$E,Encaissements!$B:$B,A121)</f>
        <v/>
      </c>
      <c r="J121" s="32">
        <f>ROUND(H121-I121,2)</f>
        <v/>
      </c>
      <c r="K121" s="30">
        <f>IF(J121&lt;=0.5,"Payée",IF(DateAnalyse&gt;E121,"En retard",IF(I121&gt;0,"Partielle","À échéance")))</f>
        <v/>
      </c>
      <c r="L121" s="33">
        <f>IF(K121="En retard",DateAnalyse-E121,0)</f>
        <v/>
      </c>
      <c r="M121" s="30">
        <f>IF(J121&lt;=0.5,"Soldée",IF(L121=0,"Non échue",IF(L121&lt;=30,"1–30 j",IF(L121&lt;=60,"31–60 j",IF(L121&lt;=90,"61–90 j","&gt; 90 j")))))</f>
        <v/>
      </c>
    </row>
    <row r="122">
      <c r="A122" s="30" t="inlineStr">
        <is>
          <t>FA-2026-0121</t>
        </is>
      </c>
      <c r="B122" s="31" t="n">
        <v>46242</v>
      </c>
      <c r="C122" s="30" t="inlineStr">
        <is>
          <t>C01</t>
        </is>
      </c>
      <c r="D122" s="30">
        <f>IFERROR(INDEX(Clients!$B:$B,MATCH(C122,Clients!$A:$A,0)),"Client inconnu")</f>
        <v/>
      </c>
      <c r="E122" s="31">
        <f>B122+IFERROR(INDEX(Clients!$D:$D,MATCH(C122,Clients!$A:$A,0)),30)</f>
        <v/>
      </c>
      <c r="F122" s="32">
        <f>SUMIFS(Lignes!$H:$H,Lignes!$A:$A,A122)</f>
        <v/>
      </c>
      <c r="G122" s="32">
        <f>SUMIFS(Lignes!$I:$I,Lignes!$A:$A,A122)</f>
        <v/>
      </c>
      <c r="H122" s="32">
        <f>F122+G122</f>
        <v/>
      </c>
      <c r="I122" s="32">
        <f>SUMIFS(Encaissements!$E:$E,Encaissements!$B:$B,A122)</f>
        <v/>
      </c>
      <c r="J122" s="32">
        <f>ROUND(H122-I122,2)</f>
        <v/>
      </c>
      <c r="K122" s="30">
        <f>IF(J122&lt;=0.5,"Payée",IF(DateAnalyse&gt;E122,"En retard",IF(I122&gt;0,"Partielle","À échéance")))</f>
        <v/>
      </c>
      <c r="L122" s="33">
        <f>IF(K122="En retard",DateAnalyse-E122,0)</f>
        <v/>
      </c>
      <c r="M122" s="30">
        <f>IF(J122&lt;=0.5,"Soldée",IF(L122=0,"Non échue",IF(L122&lt;=30,"1–30 j",IF(L122&lt;=60,"31–60 j",IF(L122&lt;=90,"61–90 j","&gt; 90 j")))))</f>
        <v/>
      </c>
    </row>
    <row r="123">
      <c r="A123" s="30" t="inlineStr">
        <is>
          <t>FA-2026-0122</t>
        </is>
      </c>
      <c r="B123" s="31" t="n">
        <v>46244</v>
      </c>
      <c r="C123" s="30" t="inlineStr">
        <is>
          <t>C06</t>
        </is>
      </c>
      <c r="D123" s="30">
        <f>IFERROR(INDEX(Clients!$B:$B,MATCH(C123,Clients!$A:$A,0)),"Client inconnu")</f>
        <v/>
      </c>
      <c r="E123" s="31">
        <f>B123+IFERROR(INDEX(Clients!$D:$D,MATCH(C123,Clients!$A:$A,0)),30)</f>
        <v/>
      </c>
      <c r="F123" s="32">
        <f>SUMIFS(Lignes!$H:$H,Lignes!$A:$A,A123)</f>
        <v/>
      </c>
      <c r="G123" s="32">
        <f>SUMIFS(Lignes!$I:$I,Lignes!$A:$A,A123)</f>
        <v/>
      </c>
      <c r="H123" s="32">
        <f>F123+G123</f>
        <v/>
      </c>
      <c r="I123" s="32">
        <f>SUMIFS(Encaissements!$E:$E,Encaissements!$B:$B,A123)</f>
        <v/>
      </c>
      <c r="J123" s="32">
        <f>ROUND(H123-I123,2)</f>
        <v/>
      </c>
      <c r="K123" s="30">
        <f>IF(J123&lt;=0.5,"Payée",IF(DateAnalyse&gt;E123,"En retard",IF(I123&gt;0,"Partielle","À échéance")))</f>
        <v/>
      </c>
      <c r="L123" s="33">
        <f>IF(K123="En retard",DateAnalyse-E123,0)</f>
        <v/>
      </c>
      <c r="M123" s="30">
        <f>IF(J123&lt;=0.5,"Soldée",IF(L123=0,"Non échue",IF(L123&lt;=30,"1–30 j",IF(L123&lt;=60,"31–60 j",IF(L123&lt;=90,"61–90 j","&gt; 90 j")))))</f>
        <v/>
      </c>
    </row>
    <row r="124">
      <c r="A124" s="30" t="inlineStr">
        <is>
          <t>FA-2026-0123</t>
        </is>
      </c>
      <c r="B124" s="31" t="n">
        <v>46247</v>
      </c>
      <c r="C124" s="30" t="inlineStr">
        <is>
          <t>C06</t>
        </is>
      </c>
      <c r="D124" s="30">
        <f>IFERROR(INDEX(Clients!$B:$B,MATCH(C124,Clients!$A:$A,0)),"Client inconnu")</f>
        <v/>
      </c>
      <c r="E124" s="31">
        <f>B124+IFERROR(INDEX(Clients!$D:$D,MATCH(C124,Clients!$A:$A,0)),30)</f>
        <v/>
      </c>
      <c r="F124" s="32">
        <f>SUMIFS(Lignes!$H:$H,Lignes!$A:$A,A124)</f>
        <v/>
      </c>
      <c r="G124" s="32">
        <f>SUMIFS(Lignes!$I:$I,Lignes!$A:$A,A124)</f>
        <v/>
      </c>
      <c r="H124" s="32">
        <f>F124+G124</f>
        <v/>
      </c>
      <c r="I124" s="32">
        <f>SUMIFS(Encaissements!$E:$E,Encaissements!$B:$B,A124)</f>
        <v/>
      </c>
      <c r="J124" s="32">
        <f>ROUND(H124-I124,2)</f>
        <v/>
      </c>
      <c r="K124" s="30">
        <f>IF(J124&lt;=0.5,"Payée",IF(DateAnalyse&gt;E124,"En retard",IF(I124&gt;0,"Partielle","À échéance")))</f>
        <v/>
      </c>
      <c r="L124" s="33">
        <f>IF(K124="En retard",DateAnalyse-E124,0)</f>
        <v/>
      </c>
      <c r="M124" s="30">
        <f>IF(J124&lt;=0.5,"Soldée",IF(L124=0,"Non échue",IF(L124&lt;=30,"1–30 j",IF(L124&lt;=60,"31–60 j",IF(L124&lt;=90,"61–90 j","&gt; 90 j")))))</f>
        <v/>
      </c>
    </row>
    <row r="125">
      <c r="A125" s="30" t="inlineStr">
        <is>
          <t>FA-2026-0124</t>
        </is>
      </c>
      <c r="B125" s="31" t="n">
        <v>46247</v>
      </c>
      <c r="C125" s="30" t="inlineStr">
        <is>
          <t>C01</t>
        </is>
      </c>
      <c r="D125" s="30">
        <f>IFERROR(INDEX(Clients!$B:$B,MATCH(C125,Clients!$A:$A,0)),"Client inconnu")</f>
        <v/>
      </c>
      <c r="E125" s="31">
        <f>B125+IFERROR(INDEX(Clients!$D:$D,MATCH(C125,Clients!$A:$A,0)),30)</f>
        <v/>
      </c>
      <c r="F125" s="32">
        <f>SUMIFS(Lignes!$H:$H,Lignes!$A:$A,A125)</f>
        <v/>
      </c>
      <c r="G125" s="32">
        <f>SUMIFS(Lignes!$I:$I,Lignes!$A:$A,A125)</f>
        <v/>
      </c>
      <c r="H125" s="32">
        <f>F125+G125</f>
        <v/>
      </c>
      <c r="I125" s="32">
        <f>SUMIFS(Encaissements!$E:$E,Encaissements!$B:$B,A125)</f>
        <v/>
      </c>
      <c r="J125" s="32">
        <f>ROUND(H125-I125,2)</f>
        <v/>
      </c>
      <c r="K125" s="30">
        <f>IF(J125&lt;=0.5,"Payée",IF(DateAnalyse&gt;E125,"En retard",IF(I125&gt;0,"Partielle","À échéance")))</f>
        <v/>
      </c>
      <c r="L125" s="33">
        <f>IF(K125="En retard",DateAnalyse-E125,0)</f>
        <v/>
      </c>
      <c r="M125" s="30">
        <f>IF(J125&lt;=0.5,"Soldée",IF(L125=0,"Non échue",IF(L125&lt;=30,"1–30 j",IF(L125&lt;=60,"31–60 j",IF(L125&lt;=90,"61–90 j","&gt; 90 j")))))</f>
        <v/>
      </c>
    </row>
    <row r="126">
      <c r="A126" s="30" t="inlineStr">
        <is>
          <t>FA-2026-0125</t>
        </is>
      </c>
      <c r="B126" s="31" t="n">
        <v>46249</v>
      </c>
      <c r="C126" s="30" t="inlineStr">
        <is>
          <t>C08</t>
        </is>
      </c>
      <c r="D126" s="30">
        <f>IFERROR(INDEX(Clients!$B:$B,MATCH(C126,Clients!$A:$A,0)),"Client inconnu")</f>
        <v/>
      </c>
      <c r="E126" s="31">
        <f>B126+IFERROR(INDEX(Clients!$D:$D,MATCH(C126,Clients!$A:$A,0)),30)</f>
        <v/>
      </c>
      <c r="F126" s="32">
        <f>SUMIFS(Lignes!$H:$H,Lignes!$A:$A,A126)</f>
        <v/>
      </c>
      <c r="G126" s="32">
        <f>SUMIFS(Lignes!$I:$I,Lignes!$A:$A,A126)</f>
        <v/>
      </c>
      <c r="H126" s="32">
        <f>F126+G126</f>
        <v/>
      </c>
      <c r="I126" s="32">
        <f>SUMIFS(Encaissements!$E:$E,Encaissements!$B:$B,A126)</f>
        <v/>
      </c>
      <c r="J126" s="32">
        <f>ROUND(H126-I126,2)</f>
        <v/>
      </c>
      <c r="K126" s="30">
        <f>IF(J126&lt;=0.5,"Payée",IF(DateAnalyse&gt;E126,"En retard",IF(I126&gt;0,"Partielle","À échéance")))</f>
        <v/>
      </c>
      <c r="L126" s="33">
        <f>IF(K126="En retard",DateAnalyse-E126,0)</f>
        <v/>
      </c>
      <c r="M126" s="30">
        <f>IF(J126&lt;=0.5,"Soldée",IF(L126=0,"Non échue",IF(L126&lt;=30,"1–30 j",IF(L126&lt;=60,"31–60 j",IF(L126&lt;=90,"61–90 j","&gt; 90 j")))))</f>
        <v/>
      </c>
    </row>
    <row r="127">
      <c r="A127" s="30" t="inlineStr">
        <is>
          <t>FA-2026-0126</t>
        </is>
      </c>
      <c r="B127" s="31" t="n">
        <v>46249</v>
      </c>
      <c r="C127" s="30" t="inlineStr">
        <is>
          <t>C06</t>
        </is>
      </c>
      <c r="D127" s="30">
        <f>IFERROR(INDEX(Clients!$B:$B,MATCH(C127,Clients!$A:$A,0)),"Client inconnu")</f>
        <v/>
      </c>
      <c r="E127" s="31">
        <f>B127+IFERROR(INDEX(Clients!$D:$D,MATCH(C127,Clients!$A:$A,0)),30)</f>
        <v/>
      </c>
      <c r="F127" s="32">
        <f>SUMIFS(Lignes!$H:$H,Lignes!$A:$A,A127)</f>
        <v/>
      </c>
      <c r="G127" s="32">
        <f>SUMIFS(Lignes!$I:$I,Lignes!$A:$A,A127)</f>
        <v/>
      </c>
      <c r="H127" s="32">
        <f>F127+G127</f>
        <v/>
      </c>
      <c r="I127" s="32">
        <f>SUMIFS(Encaissements!$E:$E,Encaissements!$B:$B,A127)</f>
        <v/>
      </c>
      <c r="J127" s="32">
        <f>ROUND(H127-I127,2)</f>
        <v/>
      </c>
      <c r="K127" s="30">
        <f>IF(J127&lt;=0.5,"Payée",IF(DateAnalyse&gt;E127,"En retard",IF(I127&gt;0,"Partielle","À échéance")))</f>
        <v/>
      </c>
      <c r="L127" s="33">
        <f>IF(K127="En retard",DateAnalyse-E127,0)</f>
        <v/>
      </c>
      <c r="M127" s="30">
        <f>IF(J127&lt;=0.5,"Soldée",IF(L127=0,"Non échue",IF(L127&lt;=30,"1–30 j",IF(L127&lt;=60,"31–60 j",IF(L127&lt;=90,"61–90 j","&gt; 90 j")))))</f>
        <v/>
      </c>
    </row>
    <row r="128">
      <c r="A128" s="30" t="inlineStr">
        <is>
          <t>FA-2026-0127</t>
        </is>
      </c>
      <c r="B128" s="31" t="n">
        <v>46251</v>
      </c>
      <c r="C128" s="30" t="inlineStr">
        <is>
          <t>C06</t>
        </is>
      </c>
      <c r="D128" s="30">
        <f>IFERROR(INDEX(Clients!$B:$B,MATCH(C128,Clients!$A:$A,0)),"Client inconnu")</f>
        <v/>
      </c>
      <c r="E128" s="31">
        <f>B128+IFERROR(INDEX(Clients!$D:$D,MATCH(C128,Clients!$A:$A,0)),30)</f>
        <v/>
      </c>
      <c r="F128" s="32">
        <f>SUMIFS(Lignes!$H:$H,Lignes!$A:$A,A128)</f>
        <v/>
      </c>
      <c r="G128" s="32">
        <f>SUMIFS(Lignes!$I:$I,Lignes!$A:$A,A128)</f>
        <v/>
      </c>
      <c r="H128" s="32">
        <f>F128+G128</f>
        <v/>
      </c>
      <c r="I128" s="32">
        <f>SUMIFS(Encaissements!$E:$E,Encaissements!$B:$B,A128)</f>
        <v/>
      </c>
      <c r="J128" s="32">
        <f>ROUND(H128-I128,2)</f>
        <v/>
      </c>
      <c r="K128" s="30">
        <f>IF(J128&lt;=0.5,"Payée",IF(DateAnalyse&gt;E128,"En retard",IF(I128&gt;0,"Partielle","À échéance")))</f>
        <v/>
      </c>
      <c r="L128" s="33">
        <f>IF(K128="En retard",DateAnalyse-E128,0)</f>
        <v/>
      </c>
      <c r="M128" s="30">
        <f>IF(J128&lt;=0.5,"Soldée",IF(L128=0,"Non échue",IF(L128&lt;=30,"1–30 j",IF(L128&lt;=60,"31–60 j",IF(L128&lt;=90,"61–90 j","&gt; 90 j")))))</f>
        <v/>
      </c>
    </row>
    <row r="129">
      <c r="A129" s="30" t="inlineStr">
        <is>
          <t>FA-2026-0128</t>
        </is>
      </c>
      <c r="B129" s="31" t="n">
        <v>46254</v>
      </c>
      <c r="C129" s="30" t="inlineStr">
        <is>
          <t>C01</t>
        </is>
      </c>
      <c r="D129" s="30">
        <f>IFERROR(INDEX(Clients!$B:$B,MATCH(C129,Clients!$A:$A,0)),"Client inconnu")</f>
        <v/>
      </c>
      <c r="E129" s="31">
        <f>B129+IFERROR(INDEX(Clients!$D:$D,MATCH(C129,Clients!$A:$A,0)),30)</f>
        <v/>
      </c>
      <c r="F129" s="32">
        <f>SUMIFS(Lignes!$H:$H,Lignes!$A:$A,A129)</f>
        <v/>
      </c>
      <c r="G129" s="32">
        <f>SUMIFS(Lignes!$I:$I,Lignes!$A:$A,A129)</f>
        <v/>
      </c>
      <c r="H129" s="32">
        <f>F129+G129</f>
        <v/>
      </c>
      <c r="I129" s="32">
        <f>SUMIFS(Encaissements!$E:$E,Encaissements!$B:$B,A129)</f>
        <v/>
      </c>
      <c r="J129" s="32">
        <f>ROUND(H129-I129,2)</f>
        <v/>
      </c>
      <c r="K129" s="30">
        <f>IF(J129&lt;=0.5,"Payée",IF(DateAnalyse&gt;E129,"En retard",IF(I129&gt;0,"Partielle","À échéance")))</f>
        <v/>
      </c>
      <c r="L129" s="33">
        <f>IF(K129="En retard",DateAnalyse-E129,0)</f>
        <v/>
      </c>
      <c r="M129" s="30">
        <f>IF(J129&lt;=0.5,"Soldée",IF(L129=0,"Non échue",IF(L129&lt;=30,"1–30 j",IF(L129&lt;=60,"31–60 j",IF(L129&lt;=90,"61–90 j","&gt; 90 j")))))</f>
        <v/>
      </c>
    </row>
    <row r="130">
      <c r="A130" s="30" t="inlineStr">
        <is>
          <t>FA-2026-0129</t>
        </is>
      </c>
      <c r="B130" s="31" t="n">
        <v>46254</v>
      </c>
      <c r="C130" s="30" t="inlineStr">
        <is>
          <t>C06</t>
        </is>
      </c>
      <c r="D130" s="30">
        <f>IFERROR(INDEX(Clients!$B:$B,MATCH(C130,Clients!$A:$A,0)),"Client inconnu")</f>
        <v/>
      </c>
      <c r="E130" s="31">
        <f>B130+IFERROR(INDEX(Clients!$D:$D,MATCH(C130,Clients!$A:$A,0)),30)</f>
        <v/>
      </c>
      <c r="F130" s="32">
        <f>SUMIFS(Lignes!$H:$H,Lignes!$A:$A,A130)</f>
        <v/>
      </c>
      <c r="G130" s="32">
        <f>SUMIFS(Lignes!$I:$I,Lignes!$A:$A,A130)</f>
        <v/>
      </c>
      <c r="H130" s="32">
        <f>F130+G130</f>
        <v/>
      </c>
      <c r="I130" s="32">
        <f>SUMIFS(Encaissements!$E:$E,Encaissements!$B:$B,A130)</f>
        <v/>
      </c>
      <c r="J130" s="32">
        <f>ROUND(H130-I130,2)</f>
        <v/>
      </c>
      <c r="K130" s="30">
        <f>IF(J130&lt;=0.5,"Payée",IF(DateAnalyse&gt;E130,"En retard",IF(I130&gt;0,"Partielle","À échéance")))</f>
        <v/>
      </c>
      <c r="L130" s="33">
        <f>IF(K130="En retard",DateAnalyse-E130,0)</f>
        <v/>
      </c>
      <c r="M130" s="30">
        <f>IF(J130&lt;=0.5,"Soldée",IF(L130=0,"Non échue",IF(L130&lt;=30,"1–30 j",IF(L130&lt;=60,"31–60 j",IF(L130&lt;=90,"61–90 j","&gt; 90 j")))))</f>
        <v/>
      </c>
    </row>
    <row r="131">
      <c r="A131" s="30" t="inlineStr">
        <is>
          <t>FA-2026-0130</t>
        </is>
      </c>
      <c r="B131" s="31" t="n">
        <v>46256</v>
      </c>
      <c r="C131" s="30" t="inlineStr">
        <is>
          <t>C01</t>
        </is>
      </c>
      <c r="D131" s="30">
        <f>IFERROR(INDEX(Clients!$B:$B,MATCH(C131,Clients!$A:$A,0)),"Client inconnu")</f>
        <v/>
      </c>
      <c r="E131" s="31">
        <f>B131+IFERROR(INDEX(Clients!$D:$D,MATCH(C131,Clients!$A:$A,0)),30)</f>
        <v/>
      </c>
      <c r="F131" s="32">
        <f>SUMIFS(Lignes!$H:$H,Lignes!$A:$A,A131)</f>
        <v/>
      </c>
      <c r="G131" s="32">
        <f>SUMIFS(Lignes!$I:$I,Lignes!$A:$A,A131)</f>
        <v/>
      </c>
      <c r="H131" s="32">
        <f>F131+G131</f>
        <v/>
      </c>
      <c r="I131" s="32">
        <f>SUMIFS(Encaissements!$E:$E,Encaissements!$B:$B,A131)</f>
        <v/>
      </c>
      <c r="J131" s="32">
        <f>ROUND(H131-I131,2)</f>
        <v/>
      </c>
      <c r="K131" s="30">
        <f>IF(J131&lt;=0.5,"Payée",IF(DateAnalyse&gt;E131,"En retard",IF(I131&gt;0,"Partielle","À échéance")))</f>
        <v/>
      </c>
      <c r="L131" s="33">
        <f>IF(K131="En retard",DateAnalyse-E131,0)</f>
        <v/>
      </c>
      <c r="M131" s="30">
        <f>IF(J131&lt;=0.5,"Soldée",IF(L131=0,"Non échue",IF(L131&lt;=30,"1–30 j",IF(L131&lt;=60,"31–60 j",IF(L131&lt;=90,"61–90 j","&gt; 90 j")))))</f>
        <v/>
      </c>
    </row>
    <row r="132">
      <c r="A132" s="30" t="inlineStr">
        <is>
          <t>FA-2026-0131</t>
        </is>
      </c>
      <c r="B132" s="31" t="n">
        <v>46258</v>
      </c>
      <c r="C132" s="30" t="inlineStr">
        <is>
          <t>C03</t>
        </is>
      </c>
      <c r="D132" s="30">
        <f>IFERROR(INDEX(Clients!$B:$B,MATCH(C132,Clients!$A:$A,0)),"Client inconnu")</f>
        <v/>
      </c>
      <c r="E132" s="31">
        <f>B132+IFERROR(INDEX(Clients!$D:$D,MATCH(C132,Clients!$A:$A,0)),30)</f>
        <v/>
      </c>
      <c r="F132" s="32">
        <f>SUMIFS(Lignes!$H:$H,Lignes!$A:$A,A132)</f>
        <v/>
      </c>
      <c r="G132" s="32">
        <f>SUMIFS(Lignes!$I:$I,Lignes!$A:$A,A132)</f>
        <v/>
      </c>
      <c r="H132" s="32">
        <f>F132+G132</f>
        <v/>
      </c>
      <c r="I132" s="32">
        <f>SUMIFS(Encaissements!$E:$E,Encaissements!$B:$B,A132)</f>
        <v/>
      </c>
      <c r="J132" s="32">
        <f>ROUND(H132-I132,2)</f>
        <v/>
      </c>
      <c r="K132" s="30">
        <f>IF(J132&lt;=0.5,"Payée",IF(DateAnalyse&gt;E132,"En retard",IF(I132&gt;0,"Partielle","À échéance")))</f>
        <v/>
      </c>
      <c r="L132" s="33">
        <f>IF(K132="En retard",DateAnalyse-E132,0)</f>
        <v/>
      </c>
      <c r="M132" s="30">
        <f>IF(J132&lt;=0.5,"Soldée",IF(L132=0,"Non échue",IF(L132&lt;=30,"1–30 j",IF(L132&lt;=60,"31–60 j",IF(L132&lt;=90,"61–90 j","&gt; 90 j")))))</f>
        <v/>
      </c>
    </row>
    <row r="133">
      <c r="A133" s="30" t="inlineStr">
        <is>
          <t>FA-2026-0132</t>
        </is>
      </c>
      <c r="B133" s="31" t="n">
        <v>46260</v>
      </c>
      <c r="C133" s="30" t="inlineStr">
        <is>
          <t>C01</t>
        </is>
      </c>
      <c r="D133" s="30">
        <f>IFERROR(INDEX(Clients!$B:$B,MATCH(C133,Clients!$A:$A,0)),"Client inconnu")</f>
        <v/>
      </c>
      <c r="E133" s="31">
        <f>B133+IFERROR(INDEX(Clients!$D:$D,MATCH(C133,Clients!$A:$A,0)),30)</f>
        <v/>
      </c>
      <c r="F133" s="32">
        <f>SUMIFS(Lignes!$H:$H,Lignes!$A:$A,A133)</f>
        <v/>
      </c>
      <c r="G133" s="32">
        <f>SUMIFS(Lignes!$I:$I,Lignes!$A:$A,A133)</f>
        <v/>
      </c>
      <c r="H133" s="32">
        <f>F133+G133</f>
        <v/>
      </c>
      <c r="I133" s="32">
        <f>SUMIFS(Encaissements!$E:$E,Encaissements!$B:$B,A133)</f>
        <v/>
      </c>
      <c r="J133" s="32">
        <f>ROUND(H133-I133,2)</f>
        <v/>
      </c>
      <c r="K133" s="30">
        <f>IF(J133&lt;=0.5,"Payée",IF(DateAnalyse&gt;E133,"En retard",IF(I133&gt;0,"Partielle","À échéance")))</f>
        <v/>
      </c>
      <c r="L133" s="33">
        <f>IF(K133="En retard",DateAnalyse-E133,0)</f>
        <v/>
      </c>
      <c r="M133" s="30">
        <f>IF(J133&lt;=0.5,"Soldée",IF(L133=0,"Non échue",IF(L133&lt;=30,"1–30 j",IF(L133&lt;=60,"31–60 j",IF(L133&lt;=90,"61–90 j","&gt; 90 j")))))</f>
        <v/>
      </c>
    </row>
    <row r="134">
      <c r="A134" s="30" t="inlineStr">
        <is>
          <t>FA-2026-0133</t>
        </is>
      </c>
      <c r="B134" s="31" t="n">
        <v>46263</v>
      </c>
      <c r="C134" s="30" t="inlineStr">
        <is>
          <t>C04</t>
        </is>
      </c>
      <c r="D134" s="30">
        <f>IFERROR(INDEX(Clients!$B:$B,MATCH(C134,Clients!$A:$A,0)),"Client inconnu")</f>
        <v/>
      </c>
      <c r="E134" s="31">
        <f>B134+IFERROR(INDEX(Clients!$D:$D,MATCH(C134,Clients!$A:$A,0)),30)</f>
        <v/>
      </c>
      <c r="F134" s="32">
        <f>SUMIFS(Lignes!$H:$H,Lignes!$A:$A,A134)</f>
        <v/>
      </c>
      <c r="G134" s="32">
        <f>SUMIFS(Lignes!$I:$I,Lignes!$A:$A,A134)</f>
        <v/>
      </c>
      <c r="H134" s="32">
        <f>F134+G134</f>
        <v/>
      </c>
      <c r="I134" s="32">
        <f>SUMIFS(Encaissements!$E:$E,Encaissements!$B:$B,A134)</f>
        <v/>
      </c>
      <c r="J134" s="32">
        <f>ROUND(H134-I134,2)</f>
        <v/>
      </c>
      <c r="K134" s="30">
        <f>IF(J134&lt;=0.5,"Payée",IF(DateAnalyse&gt;E134,"En retard",IF(I134&gt;0,"Partielle","À échéance")))</f>
        <v/>
      </c>
      <c r="L134" s="33">
        <f>IF(K134="En retard",DateAnalyse-E134,0)</f>
        <v/>
      </c>
      <c r="M134" s="30">
        <f>IF(J134&lt;=0.5,"Soldée",IF(L134=0,"Non échue",IF(L134&lt;=30,"1–30 j",IF(L134&lt;=60,"31–60 j",IF(L134&lt;=90,"61–90 j","&gt; 90 j")))))</f>
        <v/>
      </c>
    </row>
    <row r="135">
      <c r="A135" s="30" t="inlineStr">
        <is>
          <t>FA-2026-0134</t>
        </is>
      </c>
      <c r="B135" s="31" t="n">
        <v>46263</v>
      </c>
      <c r="C135" s="30" t="inlineStr">
        <is>
          <t>C06</t>
        </is>
      </c>
      <c r="D135" s="30">
        <f>IFERROR(INDEX(Clients!$B:$B,MATCH(C135,Clients!$A:$A,0)),"Client inconnu")</f>
        <v/>
      </c>
      <c r="E135" s="31">
        <f>B135+IFERROR(INDEX(Clients!$D:$D,MATCH(C135,Clients!$A:$A,0)),30)</f>
        <v/>
      </c>
      <c r="F135" s="32">
        <f>SUMIFS(Lignes!$H:$H,Lignes!$A:$A,A135)</f>
        <v/>
      </c>
      <c r="G135" s="32">
        <f>SUMIFS(Lignes!$I:$I,Lignes!$A:$A,A135)</f>
        <v/>
      </c>
      <c r="H135" s="32">
        <f>F135+G135</f>
        <v/>
      </c>
      <c r="I135" s="32">
        <f>SUMIFS(Encaissements!$E:$E,Encaissements!$B:$B,A135)</f>
        <v/>
      </c>
      <c r="J135" s="32">
        <f>ROUND(H135-I135,2)</f>
        <v/>
      </c>
      <c r="K135" s="30">
        <f>IF(J135&lt;=0.5,"Payée",IF(DateAnalyse&gt;E135,"En retard",IF(I135&gt;0,"Partielle","À échéance")))</f>
        <v/>
      </c>
      <c r="L135" s="33">
        <f>IF(K135="En retard",DateAnalyse-E135,0)</f>
        <v/>
      </c>
      <c r="M135" s="30">
        <f>IF(J135&lt;=0.5,"Soldée",IF(L135=0,"Non échue",IF(L135&lt;=30,"1–30 j",IF(L135&lt;=60,"31–60 j",IF(L135&lt;=90,"61–90 j","&gt; 90 j")))))</f>
        <v/>
      </c>
    </row>
    <row r="136">
      <c r="A136" s="30" t="inlineStr">
        <is>
          <t>FA-2026-0135</t>
        </is>
      </c>
      <c r="B136" s="31" t="n">
        <v>46266</v>
      </c>
      <c r="C136" s="30" t="inlineStr">
        <is>
          <t>C03</t>
        </is>
      </c>
      <c r="D136" s="30">
        <f>IFERROR(INDEX(Clients!$B:$B,MATCH(C136,Clients!$A:$A,0)),"Client inconnu")</f>
        <v/>
      </c>
      <c r="E136" s="31">
        <f>B136+IFERROR(INDEX(Clients!$D:$D,MATCH(C136,Clients!$A:$A,0)),30)</f>
        <v/>
      </c>
      <c r="F136" s="32">
        <f>SUMIFS(Lignes!$H:$H,Lignes!$A:$A,A136)</f>
        <v/>
      </c>
      <c r="G136" s="32">
        <f>SUMIFS(Lignes!$I:$I,Lignes!$A:$A,A136)</f>
        <v/>
      </c>
      <c r="H136" s="32">
        <f>F136+G136</f>
        <v/>
      </c>
      <c r="I136" s="32">
        <f>SUMIFS(Encaissements!$E:$E,Encaissements!$B:$B,A136)</f>
        <v/>
      </c>
      <c r="J136" s="32">
        <f>ROUND(H136-I136,2)</f>
        <v/>
      </c>
      <c r="K136" s="30">
        <f>IF(J136&lt;=0.5,"Payée",IF(DateAnalyse&gt;E136,"En retard",IF(I136&gt;0,"Partielle","À échéance")))</f>
        <v/>
      </c>
      <c r="L136" s="33">
        <f>IF(K136="En retard",DateAnalyse-E136,0)</f>
        <v/>
      </c>
      <c r="M136" s="30">
        <f>IF(J136&lt;=0.5,"Soldée",IF(L136=0,"Non échue",IF(L136&lt;=30,"1–30 j",IF(L136&lt;=60,"31–60 j",IF(L136&lt;=90,"61–90 j","&gt; 90 j")))))</f>
        <v/>
      </c>
    </row>
    <row r="137">
      <c r="A137" s="30" t="inlineStr">
        <is>
          <t>FA-2026-0136</t>
        </is>
      </c>
      <c r="B137" s="31" t="n">
        <v>46266</v>
      </c>
      <c r="C137" s="30" t="inlineStr">
        <is>
          <t>C10</t>
        </is>
      </c>
      <c r="D137" s="30">
        <f>IFERROR(INDEX(Clients!$B:$B,MATCH(C137,Clients!$A:$A,0)),"Client inconnu")</f>
        <v/>
      </c>
      <c r="E137" s="31">
        <f>B137+IFERROR(INDEX(Clients!$D:$D,MATCH(C137,Clients!$A:$A,0)),30)</f>
        <v/>
      </c>
      <c r="F137" s="32">
        <f>SUMIFS(Lignes!$H:$H,Lignes!$A:$A,A137)</f>
        <v/>
      </c>
      <c r="G137" s="32">
        <f>SUMIFS(Lignes!$I:$I,Lignes!$A:$A,A137)</f>
        <v/>
      </c>
      <c r="H137" s="32">
        <f>F137+G137</f>
        <v/>
      </c>
      <c r="I137" s="32">
        <f>SUMIFS(Encaissements!$E:$E,Encaissements!$B:$B,A137)</f>
        <v/>
      </c>
      <c r="J137" s="32">
        <f>ROUND(H137-I137,2)</f>
        <v/>
      </c>
      <c r="K137" s="30">
        <f>IF(J137&lt;=0.5,"Payée",IF(DateAnalyse&gt;E137,"En retard",IF(I137&gt;0,"Partielle","À échéance")))</f>
        <v/>
      </c>
      <c r="L137" s="33">
        <f>IF(K137="En retard",DateAnalyse-E137,0)</f>
        <v/>
      </c>
      <c r="M137" s="30">
        <f>IF(J137&lt;=0.5,"Soldée",IF(L137=0,"Non échue",IF(L137&lt;=30,"1–30 j",IF(L137&lt;=60,"31–60 j",IF(L137&lt;=90,"61–90 j","&gt; 90 j")))))</f>
        <v/>
      </c>
    </row>
    <row r="138">
      <c r="A138" s="30" t="inlineStr">
        <is>
          <t>FA-2026-0137</t>
        </is>
      </c>
      <c r="B138" s="31" t="n">
        <v>46268</v>
      </c>
      <c r="C138" s="30" t="inlineStr">
        <is>
          <t>C06</t>
        </is>
      </c>
      <c r="D138" s="30">
        <f>IFERROR(INDEX(Clients!$B:$B,MATCH(C138,Clients!$A:$A,0)),"Client inconnu")</f>
        <v/>
      </c>
      <c r="E138" s="31">
        <f>B138+IFERROR(INDEX(Clients!$D:$D,MATCH(C138,Clients!$A:$A,0)),30)</f>
        <v/>
      </c>
      <c r="F138" s="32">
        <f>SUMIFS(Lignes!$H:$H,Lignes!$A:$A,A138)</f>
        <v/>
      </c>
      <c r="G138" s="32">
        <f>SUMIFS(Lignes!$I:$I,Lignes!$A:$A,A138)</f>
        <v/>
      </c>
      <c r="H138" s="32">
        <f>F138+G138</f>
        <v/>
      </c>
      <c r="I138" s="32">
        <f>SUMIFS(Encaissements!$E:$E,Encaissements!$B:$B,A138)</f>
        <v/>
      </c>
      <c r="J138" s="32">
        <f>ROUND(H138-I138,2)</f>
        <v/>
      </c>
      <c r="K138" s="30">
        <f>IF(J138&lt;=0.5,"Payée",IF(DateAnalyse&gt;E138,"En retard",IF(I138&gt;0,"Partielle","À échéance")))</f>
        <v/>
      </c>
      <c r="L138" s="33">
        <f>IF(K138="En retard",DateAnalyse-E138,0)</f>
        <v/>
      </c>
      <c r="M138" s="30">
        <f>IF(J138&lt;=0.5,"Soldée",IF(L138=0,"Non échue",IF(L138&lt;=30,"1–30 j",IF(L138&lt;=60,"31–60 j",IF(L138&lt;=90,"61–90 j","&gt; 90 j")))))</f>
        <v/>
      </c>
    </row>
    <row r="139">
      <c r="A139" s="30" t="inlineStr">
        <is>
          <t>FA-2026-0138</t>
        </is>
      </c>
      <c r="B139" s="31" t="n">
        <v>46272</v>
      </c>
      <c r="C139" s="30" t="inlineStr">
        <is>
          <t>C01</t>
        </is>
      </c>
      <c r="D139" s="30">
        <f>IFERROR(INDEX(Clients!$B:$B,MATCH(C139,Clients!$A:$A,0)),"Client inconnu")</f>
        <v/>
      </c>
      <c r="E139" s="31">
        <f>B139+IFERROR(INDEX(Clients!$D:$D,MATCH(C139,Clients!$A:$A,0)),30)</f>
        <v/>
      </c>
      <c r="F139" s="32">
        <f>SUMIFS(Lignes!$H:$H,Lignes!$A:$A,A139)</f>
        <v/>
      </c>
      <c r="G139" s="32">
        <f>SUMIFS(Lignes!$I:$I,Lignes!$A:$A,A139)</f>
        <v/>
      </c>
      <c r="H139" s="32">
        <f>F139+G139</f>
        <v/>
      </c>
      <c r="I139" s="32">
        <f>SUMIFS(Encaissements!$E:$E,Encaissements!$B:$B,A139)</f>
        <v/>
      </c>
      <c r="J139" s="32">
        <f>ROUND(H139-I139,2)</f>
        <v/>
      </c>
      <c r="K139" s="30">
        <f>IF(J139&lt;=0.5,"Payée",IF(DateAnalyse&gt;E139,"En retard",IF(I139&gt;0,"Partielle","À échéance")))</f>
        <v/>
      </c>
      <c r="L139" s="33">
        <f>IF(K139="En retard",DateAnalyse-E139,0)</f>
        <v/>
      </c>
      <c r="M139" s="30">
        <f>IF(J139&lt;=0.5,"Soldée",IF(L139=0,"Non échue",IF(L139&lt;=30,"1–30 j",IF(L139&lt;=60,"31–60 j",IF(L139&lt;=90,"61–90 j","&gt; 90 j")))))</f>
        <v/>
      </c>
    </row>
    <row r="140">
      <c r="A140" s="30" t="inlineStr">
        <is>
          <t>FA-2026-0139</t>
        </is>
      </c>
      <c r="B140" s="31" t="n">
        <v>46274</v>
      </c>
      <c r="C140" s="30" t="inlineStr">
        <is>
          <t>C10</t>
        </is>
      </c>
      <c r="D140" s="30">
        <f>IFERROR(INDEX(Clients!$B:$B,MATCH(C140,Clients!$A:$A,0)),"Client inconnu")</f>
        <v/>
      </c>
      <c r="E140" s="31">
        <f>B140+IFERROR(INDEX(Clients!$D:$D,MATCH(C140,Clients!$A:$A,0)),30)</f>
        <v/>
      </c>
      <c r="F140" s="32">
        <f>SUMIFS(Lignes!$H:$H,Lignes!$A:$A,A140)</f>
        <v/>
      </c>
      <c r="G140" s="32">
        <f>SUMIFS(Lignes!$I:$I,Lignes!$A:$A,A140)</f>
        <v/>
      </c>
      <c r="H140" s="32">
        <f>F140+G140</f>
        <v/>
      </c>
      <c r="I140" s="32">
        <f>SUMIFS(Encaissements!$E:$E,Encaissements!$B:$B,A140)</f>
        <v/>
      </c>
      <c r="J140" s="32">
        <f>ROUND(H140-I140,2)</f>
        <v/>
      </c>
      <c r="K140" s="30">
        <f>IF(J140&lt;=0.5,"Payée",IF(DateAnalyse&gt;E140,"En retard",IF(I140&gt;0,"Partielle","À échéance")))</f>
        <v/>
      </c>
      <c r="L140" s="33">
        <f>IF(K140="En retard",DateAnalyse-E140,0)</f>
        <v/>
      </c>
      <c r="M140" s="30">
        <f>IF(J140&lt;=0.5,"Soldée",IF(L140=0,"Non échue",IF(L140&lt;=30,"1–30 j",IF(L140&lt;=60,"31–60 j",IF(L140&lt;=90,"61–90 j","&gt; 90 j")))))</f>
        <v/>
      </c>
    </row>
    <row r="141">
      <c r="A141" s="30" t="inlineStr">
        <is>
          <t>FA-2026-0140</t>
        </is>
      </c>
      <c r="B141" s="31" t="n">
        <v>46277</v>
      </c>
      <c r="C141" s="30" t="inlineStr">
        <is>
          <t>C10</t>
        </is>
      </c>
      <c r="D141" s="30">
        <f>IFERROR(INDEX(Clients!$B:$B,MATCH(C141,Clients!$A:$A,0)),"Client inconnu")</f>
        <v/>
      </c>
      <c r="E141" s="31">
        <f>B141+IFERROR(INDEX(Clients!$D:$D,MATCH(C141,Clients!$A:$A,0)),30)</f>
        <v/>
      </c>
      <c r="F141" s="32">
        <f>SUMIFS(Lignes!$H:$H,Lignes!$A:$A,A141)</f>
        <v/>
      </c>
      <c r="G141" s="32">
        <f>SUMIFS(Lignes!$I:$I,Lignes!$A:$A,A141)</f>
        <v/>
      </c>
      <c r="H141" s="32">
        <f>F141+G141</f>
        <v/>
      </c>
      <c r="I141" s="32">
        <f>SUMIFS(Encaissements!$E:$E,Encaissements!$B:$B,A141)</f>
        <v/>
      </c>
      <c r="J141" s="32">
        <f>ROUND(H141-I141,2)</f>
        <v/>
      </c>
      <c r="K141" s="30">
        <f>IF(J141&lt;=0.5,"Payée",IF(DateAnalyse&gt;E141,"En retard",IF(I141&gt;0,"Partielle","À échéance")))</f>
        <v/>
      </c>
      <c r="L141" s="33">
        <f>IF(K141="En retard",DateAnalyse-E141,0)</f>
        <v/>
      </c>
      <c r="M141" s="30">
        <f>IF(J141&lt;=0.5,"Soldée",IF(L141=0,"Non échue",IF(L141&lt;=30,"1–30 j",IF(L141&lt;=60,"31–60 j",IF(L141&lt;=90,"61–90 j","&gt; 90 j")))))</f>
        <v/>
      </c>
    </row>
    <row r="142">
      <c r="A142" s="30" t="inlineStr">
        <is>
          <t>FA-2026-0141</t>
        </is>
      </c>
      <c r="B142" s="31" t="n">
        <v>46278</v>
      </c>
      <c r="C142" s="30" t="inlineStr">
        <is>
          <t>C11</t>
        </is>
      </c>
      <c r="D142" s="30">
        <f>IFERROR(INDEX(Clients!$B:$B,MATCH(C142,Clients!$A:$A,0)),"Client inconnu")</f>
        <v/>
      </c>
      <c r="E142" s="31">
        <f>B142+IFERROR(INDEX(Clients!$D:$D,MATCH(C142,Clients!$A:$A,0)),30)</f>
        <v/>
      </c>
      <c r="F142" s="32">
        <f>SUMIFS(Lignes!$H:$H,Lignes!$A:$A,A142)</f>
        <v/>
      </c>
      <c r="G142" s="32">
        <f>SUMIFS(Lignes!$I:$I,Lignes!$A:$A,A142)</f>
        <v/>
      </c>
      <c r="H142" s="32">
        <f>F142+G142</f>
        <v/>
      </c>
      <c r="I142" s="32">
        <f>SUMIFS(Encaissements!$E:$E,Encaissements!$B:$B,A142)</f>
        <v/>
      </c>
      <c r="J142" s="32">
        <f>ROUND(H142-I142,2)</f>
        <v/>
      </c>
      <c r="K142" s="30">
        <f>IF(J142&lt;=0.5,"Payée",IF(DateAnalyse&gt;E142,"En retard",IF(I142&gt;0,"Partielle","À échéance")))</f>
        <v/>
      </c>
      <c r="L142" s="33">
        <f>IF(K142="En retard",DateAnalyse-E142,0)</f>
        <v/>
      </c>
      <c r="M142" s="30">
        <f>IF(J142&lt;=0.5,"Soldée",IF(L142=0,"Non échue",IF(L142&lt;=30,"1–30 j",IF(L142&lt;=60,"31–60 j",IF(L142&lt;=90,"61–90 j","&gt; 90 j")))))</f>
        <v/>
      </c>
    </row>
    <row r="143">
      <c r="A143" s="30" t="inlineStr">
        <is>
          <t>FA-2026-0142</t>
        </is>
      </c>
      <c r="B143" s="31" t="n">
        <v>46280</v>
      </c>
      <c r="C143" s="30" t="inlineStr">
        <is>
          <t>C08</t>
        </is>
      </c>
      <c r="D143" s="30">
        <f>IFERROR(INDEX(Clients!$B:$B,MATCH(C143,Clients!$A:$A,0)),"Client inconnu")</f>
        <v/>
      </c>
      <c r="E143" s="31">
        <f>B143+IFERROR(INDEX(Clients!$D:$D,MATCH(C143,Clients!$A:$A,0)),30)</f>
        <v/>
      </c>
      <c r="F143" s="32">
        <f>SUMIFS(Lignes!$H:$H,Lignes!$A:$A,A143)</f>
        <v/>
      </c>
      <c r="G143" s="32">
        <f>SUMIFS(Lignes!$I:$I,Lignes!$A:$A,A143)</f>
        <v/>
      </c>
      <c r="H143" s="32">
        <f>F143+G143</f>
        <v/>
      </c>
      <c r="I143" s="32">
        <f>SUMIFS(Encaissements!$E:$E,Encaissements!$B:$B,A143)</f>
        <v/>
      </c>
      <c r="J143" s="32">
        <f>ROUND(H143-I143,2)</f>
        <v/>
      </c>
      <c r="K143" s="30">
        <f>IF(J143&lt;=0.5,"Payée",IF(DateAnalyse&gt;E143,"En retard",IF(I143&gt;0,"Partielle","À échéance")))</f>
        <v/>
      </c>
      <c r="L143" s="33">
        <f>IF(K143="En retard",DateAnalyse-E143,0)</f>
        <v/>
      </c>
      <c r="M143" s="30">
        <f>IF(J143&lt;=0.5,"Soldée",IF(L143=0,"Non échue",IF(L143&lt;=30,"1–30 j",IF(L143&lt;=60,"31–60 j",IF(L143&lt;=90,"61–90 j","&gt; 90 j")))))</f>
        <v/>
      </c>
    </row>
    <row r="144">
      <c r="A144" s="30" t="inlineStr">
        <is>
          <t>FA-2026-0143</t>
        </is>
      </c>
      <c r="B144" s="31" t="n">
        <v>46282</v>
      </c>
      <c r="C144" s="30" t="inlineStr">
        <is>
          <t>C10</t>
        </is>
      </c>
      <c r="D144" s="30">
        <f>IFERROR(INDEX(Clients!$B:$B,MATCH(C144,Clients!$A:$A,0)),"Client inconnu")</f>
        <v/>
      </c>
      <c r="E144" s="31">
        <f>B144+IFERROR(INDEX(Clients!$D:$D,MATCH(C144,Clients!$A:$A,0)),30)</f>
        <v/>
      </c>
      <c r="F144" s="32">
        <f>SUMIFS(Lignes!$H:$H,Lignes!$A:$A,A144)</f>
        <v/>
      </c>
      <c r="G144" s="32">
        <f>SUMIFS(Lignes!$I:$I,Lignes!$A:$A,A144)</f>
        <v/>
      </c>
      <c r="H144" s="32">
        <f>F144+G144</f>
        <v/>
      </c>
      <c r="I144" s="32">
        <f>SUMIFS(Encaissements!$E:$E,Encaissements!$B:$B,A144)</f>
        <v/>
      </c>
      <c r="J144" s="32">
        <f>ROUND(H144-I144,2)</f>
        <v/>
      </c>
      <c r="K144" s="30">
        <f>IF(J144&lt;=0.5,"Payée",IF(DateAnalyse&gt;E144,"En retard",IF(I144&gt;0,"Partielle","À échéance")))</f>
        <v/>
      </c>
      <c r="L144" s="33">
        <f>IF(K144="En retard",DateAnalyse-E144,0)</f>
        <v/>
      </c>
      <c r="M144" s="30">
        <f>IF(J144&lt;=0.5,"Soldée",IF(L144=0,"Non échue",IF(L144&lt;=30,"1–30 j",IF(L144&lt;=60,"31–60 j",IF(L144&lt;=90,"61–90 j","&gt; 90 j")))))</f>
        <v/>
      </c>
    </row>
    <row r="145">
      <c r="A145" s="30" t="inlineStr">
        <is>
          <t>FA-2026-0144</t>
        </is>
      </c>
      <c r="B145" s="31" t="n">
        <v>46285</v>
      </c>
      <c r="C145" s="30" t="inlineStr">
        <is>
          <t>C02</t>
        </is>
      </c>
      <c r="D145" s="30">
        <f>IFERROR(INDEX(Clients!$B:$B,MATCH(C145,Clients!$A:$A,0)),"Client inconnu")</f>
        <v/>
      </c>
      <c r="E145" s="31">
        <f>B145+IFERROR(INDEX(Clients!$D:$D,MATCH(C145,Clients!$A:$A,0)),30)</f>
        <v/>
      </c>
      <c r="F145" s="32">
        <f>SUMIFS(Lignes!$H:$H,Lignes!$A:$A,A145)</f>
        <v/>
      </c>
      <c r="G145" s="32">
        <f>SUMIFS(Lignes!$I:$I,Lignes!$A:$A,A145)</f>
        <v/>
      </c>
      <c r="H145" s="32">
        <f>F145+G145</f>
        <v/>
      </c>
      <c r="I145" s="32">
        <f>SUMIFS(Encaissements!$E:$E,Encaissements!$B:$B,A145)</f>
        <v/>
      </c>
      <c r="J145" s="32">
        <f>ROUND(H145-I145,2)</f>
        <v/>
      </c>
      <c r="K145" s="30">
        <f>IF(J145&lt;=0.5,"Payée",IF(DateAnalyse&gt;E145,"En retard",IF(I145&gt;0,"Partielle","À échéance")))</f>
        <v/>
      </c>
      <c r="L145" s="33">
        <f>IF(K145="En retard",DateAnalyse-E145,0)</f>
        <v/>
      </c>
      <c r="M145" s="30">
        <f>IF(J145&lt;=0.5,"Soldée",IF(L145=0,"Non échue",IF(L145&lt;=30,"1–30 j",IF(L145&lt;=60,"31–60 j",IF(L145&lt;=90,"61–90 j","&gt; 90 j")))))</f>
        <v/>
      </c>
    </row>
    <row r="146">
      <c r="A146" s="30" t="inlineStr">
        <is>
          <t>FA-2026-0145</t>
        </is>
      </c>
      <c r="B146" s="31" t="n">
        <v>46286</v>
      </c>
      <c r="C146" s="30" t="inlineStr">
        <is>
          <t>C04</t>
        </is>
      </c>
      <c r="D146" s="30">
        <f>IFERROR(INDEX(Clients!$B:$B,MATCH(C146,Clients!$A:$A,0)),"Client inconnu")</f>
        <v/>
      </c>
      <c r="E146" s="31">
        <f>B146+IFERROR(INDEX(Clients!$D:$D,MATCH(C146,Clients!$A:$A,0)),30)</f>
        <v/>
      </c>
      <c r="F146" s="32">
        <f>SUMIFS(Lignes!$H:$H,Lignes!$A:$A,A146)</f>
        <v/>
      </c>
      <c r="G146" s="32">
        <f>SUMIFS(Lignes!$I:$I,Lignes!$A:$A,A146)</f>
        <v/>
      </c>
      <c r="H146" s="32">
        <f>F146+G146</f>
        <v/>
      </c>
      <c r="I146" s="32">
        <f>SUMIFS(Encaissements!$E:$E,Encaissements!$B:$B,A146)</f>
        <v/>
      </c>
      <c r="J146" s="32">
        <f>ROUND(H146-I146,2)</f>
        <v/>
      </c>
      <c r="K146" s="30">
        <f>IF(J146&lt;=0.5,"Payée",IF(DateAnalyse&gt;E146,"En retard",IF(I146&gt;0,"Partielle","À échéance")))</f>
        <v/>
      </c>
      <c r="L146" s="33">
        <f>IF(K146="En retard",DateAnalyse-E146,0)</f>
        <v/>
      </c>
      <c r="M146" s="30">
        <f>IF(J146&lt;=0.5,"Soldée",IF(L146=0,"Non échue",IF(L146&lt;=30,"1–30 j",IF(L146&lt;=60,"31–60 j",IF(L146&lt;=90,"61–90 j","&gt; 90 j")))))</f>
        <v/>
      </c>
    </row>
    <row r="147">
      <c r="A147" s="30" t="inlineStr">
        <is>
          <t>FA-2026-0146</t>
        </is>
      </c>
      <c r="B147" s="31" t="n">
        <v>46288</v>
      </c>
      <c r="C147" s="30" t="inlineStr">
        <is>
          <t>C05</t>
        </is>
      </c>
      <c r="D147" s="30">
        <f>IFERROR(INDEX(Clients!$B:$B,MATCH(C147,Clients!$A:$A,0)),"Client inconnu")</f>
        <v/>
      </c>
      <c r="E147" s="31">
        <f>B147+IFERROR(INDEX(Clients!$D:$D,MATCH(C147,Clients!$A:$A,0)),30)</f>
        <v/>
      </c>
      <c r="F147" s="32">
        <f>SUMIFS(Lignes!$H:$H,Lignes!$A:$A,A147)</f>
        <v/>
      </c>
      <c r="G147" s="32">
        <f>SUMIFS(Lignes!$I:$I,Lignes!$A:$A,A147)</f>
        <v/>
      </c>
      <c r="H147" s="32">
        <f>F147+G147</f>
        <v/>
      </c>
      <c r="I147" s="32">
        <f>SUMIFS(Encaissements!$E:$E,Encaissements!$B:$B,A147)</f>
        <v/>
      </c>
      <c r="J147" s="32">
        <f>ROUND(H147-I147,2)</f>
        <v/>
      </c>
      <c r="K147" s="30">
        <f>IF(J147&lt;=0.5,"Payée",IF(DateAnalyse&gt;E147,"En retard",IF(I147&gt;0,"Partielle","À échéance")))</f>
        <v/>
      </c>
      <c r="L147" s="33">
        <f>IF(K147="En retard",DateAnalyse-E147,0)</f>
        <v/>
      </c>
      <c r="M147" s="30">
        <f>IF(J147&lt;=0.5,"Soldée",IF(L147=0,"Non échue",IF(L147&lt;=30,"1–30 j",IF(L147&lt;=60,"31–60 j",IF(L147&lt;=90,"61–90 j","&gt; 90 j")))))</f>
        <v/>
      </c>
    </row>
    <row r="148">
      <c r="A148" s="30" t="inlineStr">
        <is>
          <t>FA-2026-0147</t>
        </is>
      </c>
      <c r="B148" s="31" t="n">
        <v>46289</v>
      </c>
      <c r="C148" s="30" t="inlineStr">
        <is>
          <t>C02</t>
        </is>
      </c>
      <c r="D148" s="30">
        <f>IFERROR(INDEX(Clients!$B:$B,MATCH(C148,Clients!$A:$A,0)),"Client inconnu")</f>
        <v/>
      </c>
      <c r="E148" s="31">
        <f>B148+IFERROR(INDEX(Clients!$D:$D,MATCH(C148,Clients!$A:$A,0)),30)</f>
        <v/>
      </c>
      <c r="F148" s="32">
        <f>SUMIFS(Lignes!$H:$H,Lignes!$A:$A,A148)</f>
        <v/>
      </c>
      <c r="G148" s="32">
        <f>SUMIFS(Lignes!$I:$I,Lignes!$A:$A,A148)</f>
        <v/>
      </c>
      <c r="H148" s="32">
        <f>F148+G148</f>
        <v/>
      </c>
      <c r="I148" s="32">
        <f>SUMIFS(Encaissements!$E:$E,Encaissements!$B:$B,A148)</f>
        <v/>
      </c>
      <c r="J148" s="32">
        <f>ROUND(H148-I148,2)</f>
        <v/>
      </c>
      <c r="K148" s="30">
        <f>IF(J148&lt;=0.5,"Payée",IF(DateAnalyse&gt;E148,"En retard",IF(I148&gt;0,"Partielle","À échéance")))</f>
        <v/>
      </c>
      <c r="L148" s="33">
        <f>IF(K148="En retard",DateAnalyse-E148,0)</f>
        <v/>
      </c>
      <c r="M148" s="30">
        <f>IF(J148&lt;=0.5,"Soldée",IF(L148=0,"Non échue",IF(L148&lt;=30,"1–30 j",IF(L148&lt;=60,"31–60 j",IF(L148&lt;=90,"61–90 j","&gt; 90 j")))))</f>
        <v/>
      </c>
    </row>
    <row r="149">
      <c r="A149" s="30" t="inlineStr">
        <is>
          <t>FA-2026-0148</t>
        </is>
      </c>
      <c r="B149" s="31" t="n">
        <v>46291</v>
      </c>
      <c r="C149" s="30" t="inlineStr">
        <is>
          <t>C05</t>
        </is>
      </c>
      <c r="D149" s="30">
        <f>IFERROR(INDEX(Clients!$B:$B,MATCH(C149,Clients!$A:$A,0)),"Client inconnu")</f>
        <v/>
      </c>
      <c r="E149" s="31">
        <f>B149+IFERROR(INDEX(Clients!$D:$D,MATCH(C149,Clients!$A:$A,0)),30)</f>
        <v/>
      </c>
      <c r="F149" s="32">
        <f>SUMIFS(Lignes!$H:$H,Lignes!$A:$A,A149)</f>
        <v/>
      </c>
      <c r="G149" s="32">
        <f>SUMIFS(Lignes!$I:$I,Lignes!$A:$A,A149)</f>
        <v/>
      </c>
      <c r="H149" s="32">
        <f>F149+G149</f>
        <v/>
      </c>
      <c r="I149" s="32">
        <f>SUMIFS(Encaissements!$E:$E,Encaissements!$B:$B,A149)</f>
        <v/>
      </c>
      <c r="J149" s="32">
        <f>ROUND(H149-I149,2)</f>
        <v/>
      </c>
      <c r="K149" s="30">
        <f>IF(J149&lt;=0.5,"Payée",IF(DateAnalyse&gt;E149,"En retard",IF(I149&gt;0,"Partielle","À échéance")))</f>
        <v/>
      </c>
      <c r="L149" s="33">
        <f>IF(K149="En retard",DateAnalyse-E149,0)</f>
        <v/>
      </c>
      <c r="M149" s="30">
        <f>IF(J149&lt;=0.5,"Soldée",IF(L149=0,"Non échue",IF(L149&lt;=30,"1–30 j",IF(L149&lt;=60,"31–60 j",IF(L149&lt;=90,"61–90 j","&gt; 90 j")))))</f>
        <v/>
      </c>
    </row>
    <row r="150">
      <c r="A150" s="30" t="inlineStr">
        <is>
          <t>FA-2026-0149</t>
        </is>
      </c>
      <c r="B150" s="31" t="n">
        <v>46293</v>
      </c>
      <c r="C150" s="30" t="inlineStr">
        <is>
          <t>C04</t>
        </is>
      </c>
      <c r="D150" s="30">
        <f>IFERROR(INDEX(Clients!$B:$B,MATCH(C150,Clients!$A:$A,0)),"Client inconnu")</f>
        <v/>
      </c>
      <c r="E150" s="31">
        <f>B150+IFERROR(INDEX(Clients!$D:$D,MATCH(C150,Clients!$A:$A,0)),30)</f>
        <v/>
      </c>
      <c r="F150" s="32">
        <f>SUMIFS(Lignes!$H:$H,Lignes!$A:$A,A150)</f>
        <v/>
      </c>
      <c r="G150" s="32">
        <f>SUMIFS(Lignes!$I:$I,Lignes!$A:$A,A150)</f>
        <v/>
      </c>
      <c r="H150" s="32">
        <f>F150+G150</f>
        <v/>
      </c>
      <c r="I150" s="32">
        <f>SUMIFS(Encaissements!$E:$E,Encaissements!$B:$B,A150)</f>
        <v/>
      </c>
      <c r="J150" s="32">
        <f>ROUND(H150-I150,2)</f>
        <v/>
      </c>
      <c r="K150" s="30">
        <f>IF(J150&lt;=0.5,"Payée",IF(DateAnalyse&gt;E150,"En retard",IF(I150&gt;0,"Partielle","À échéance")))</f>
        <v/>
      </c>
      <c r="L150" s="33">
        <f>IF(K150="En retard",DateAnalyse-E150,0)</f>
        <v/>
      </c>
      <c r="M150" s="30">
        <f>IF(J150&lt;=0.5,"Soldée",IF(L150=0,"Non échue",IF(L150&lt;=30,"1–30 j",IF(L150&lt;=60,"31–60 j",IF(L150&lt;=90,"61–90 j","&gt; 90 j")))))</f>
        <v/>
      </c>
    </row>
    <row r="151">
      <c r="A151" s="30" t="inlineStr">
        <is>
          <t>FA-2026-0150</t>
        </is>
      </c>
      <c r="B151" s="31" t="n">
        <v>46294</v>
      </c>
      <c r="C151" s="30" t="inlineStr">
        <is>
          <t>C02</t>
        </is>
      </c>
      <c r="D151" s="30">
        <f>IFERROR(INDEX(Clients!$B:$B,MATCH(C151,Clients!$A:$A,0)),"Client inconnu")</f>
        <v/>
      </c>
      <c r="E151" s="31">
        <f>B151+IFERROR(INDEX(Clients!$D:$D,MATCH(C151,Clients!$A:$A,0)),30)</f>
        <v/>
      </c>
      <c r="F151" s="32">
        <f>SUMIFS(Lignes!$H:$H,Lignes!$A:$A,A151)</f>
        <v/>
      </c>
      <c r="G151" s="32">
        <f>SUMIFS(Lignes!$I:$I,Lignes!$A:$A,A151)</f>
        <v/>
      </c>
      <c r="H151" s="32">
        <f>F151+G151</f>
        <v/>
      </c>
      <c r="I151" s="32">
        <f>SUMIFS(Encaissements!$E:$E,Encaissements!$B:$B,A151)</f>
        <v/>
      </c>
      <c r="J151" s="32">
        <f>ROUND(H151-I151,2)</f>
        <v/>
      </c>
      <c r="K151" s="30">
        <f>IF(J151&lt;=0.5,"Payée",IF(DateAnalyse&gt;E151,"En retard",IF(I151&gt;0,"Partielle","À échéance")))</f>
        <v/>
      </c>
      <c r="L151" s="33">
        <f>IF(K151="En retard",DateAnalyse-E151,0)</f>
        <v/>
      </c>
      <c r="M151" s="30">
        <f>IF(J151&lt;=0.5,"Soldée",IF(L151=0,"Non échue",IF(L151&lt;=30,"1–30 j",IF(L151&lt;=60,"31–60 j",IF(L151&lt;=90,"61–90 j","&gt; 90 j")))))</f>
        <v/>
      </c>
    </row>
    <row r="152">
      <c r="A152" s="30" t="inlineStr">
        <is>
          <t>FA-2026-0151</t>
        </is>
      </c>
      <c r="B152" s="31" t="n">
        <v>46295</v>
      </c>
      <c r="C152" s="30" t="inlineStr">
        <is>
          <t>C08</t>
        </is>
      </c>
      <c r="D152" s="30">
        <f>IFERROR(INDEX(Clients!$B:$B,MATCH(C152,Clients!$A:$A,0)),"Client inconnu")</f>
        <v/>
      </c>
      <c r="E152" s="31">
        <f>B152+IFERROR(INDEX(Clients!$D:$D,MATCH(C152,Clients!$A:$A,0)),30)</f>
        <v/>
      </c>
      <c r="F152" s="32">
        <f>SUMIFS(Lignes!$H:$H,Lignes!$A:$A,A152)</f>
        <v/>
      </c>
      <c r="G152" s="32">
        <f>SUMIFS(Lignes!$I:$I,Lignes!$A:$A,A152)</f>
        <v/>
      </c>
      <c r="H152" s="32">
        <f>F152+G152</f>
        <v/>
      </c>
      <c r="I152" s="32">
        <f>SUMIFS(Encaissements!$E:$E,Encaissements!$B:$B,A152)</f>
        <v/>
      </c>
      <c r="J152" s="32">
        <f>ROUND(H152-I152,2)</f>
        <v/>
      </c>
      <c r="K152" s="30">
        <f>IF(J152&lt;=0.5,"Payée",IF(DateAnalyse&gt;E152,"En retard",IF(I152&gt;0,"Partielle","À échéance")))</f>
        <v/>
      </c>
      <c r="L152" s="33">
        <f>IF(K152="En retard",DateAnalyse-E152,0)</f>
        <v/>
      </c>
      <c r="M152" s="30">
        <f>IF(J152&lt;=0.5,"Soldée",IF(L152=0,"Non échue",IF(L152&lt;=30,"1–30 j",IF(L152&lt;=60,"31–60 j",IF(L152&lt;=90,"61–90 j","&gt; 90 j")))))</f>
        <v/>
      </c>
    </row>
    <row r="153">
      <c r="A153" s="30" t="inlineStr">
        <is>
          <t>FA-2026-0152</t>
        </is>
      </c>
      <c r="B153" s="31" t="n">
        <v>46295</v>
      </c>
      <c r="C153" s="30" t="inlineStr">
        <is>
          <t>C06</t>
        </is>
      </c>
      <c r="D153" s="30">
        <f>IFERROR(INDEX(Clients!$B:$B,MATCH(C153,Clients!$A:$A,0)),"Client inconnu")</f>
        <v/>
      </c>
      <c r="E153" s="31">
        <f>B153+IFERROR(INDEX(Clients!$D:$D,MATCH(C153,Clients!$A:$A,0)),30)</f>
        <v/>
      </c>
      <c r="F153" s="32">
        <f>SUMIFS(Lignes!$H:$H,Lignes!$A:$A,A153)</f>
        <v/>
      </c>
      <c r="G153" s="32">
        <f>SUMIFS(Lignes!$I:$I,Lignes!$A:$A,A153)</f>
        <v/>
      </c>
      <c r="H153" s="32">
        <f>F153+G153</f>
        <v/>
      </c>
      <c r="I153" s="32">
        <f>SUMIFS(Encaissements!$E:$E,Encaissements!$B:$B,A153)</f>
        <v/>
      </c>
      <c r="J153" s="32">
        <f>ROUND(H153-I153,2)</f>
        <v/>
      </c>
      <c r="K153" s="30">
        <f>IF(J153&lt;=0.5,"Payée",IF(DateAnalyse&gt;E153,"En retard",IF(I153&gt;0,"Partielle","À échéance")))</f>
        <v/>
      </c>
      <c r="L153" s="33">
        <f>IF(K153="En retard",DateAnalyse-E153,0)</f>
        <v/>
      </c>
      <c r="M153" s="30">
        <f>IF(J153&lt;=0.5,"Soldée",IF(L153=0,"Non échue",IF(L153&lt;=30,"1–30 j",IF(L153&lt;=60,"31–60 j",IF(L153&lt;=90,"61–90 j","&gt; 90 j")))))</f>
        <v/>
      </c>
    </row>
    <row r="154">
      <c r="A154" s="30" t="inlineStr">
        <is>
          <t>FA-2026-0153</t>
        </is>
      </c>
      <c r="B154" s="31" t="n">
        <v>46299</v>
      </c>
      <c r="C154" s="30" t="inlineStr">
        <is>
          <t>C11</t>
        </is>
      </c>
      <c r="D154" s="30">
        <f>IFERROR(INDEX(Clients!$B:$B,MATCH(C154,Clients!$A:$A,0)),"Client inconnu")</f>
        <v/>
      </c>
      <c r="E154" s="31">
        <f>B154+IFERROR(INDEX(Clients!$D:$D,MATCH(C154,Clients!$A:$A,0)),30)</f>
        <v/>
      </c>
      <c r="F154" s="32">
        <f>SUMIFS(Lignes!$H:$H,Lignes!$A:$A,A154)</f>
        <v/>
      </c>
      <c r="G154" s="32">
        <f>SUMIFS(Lignes!$I:$I,Lignes!$A:$A,A154)</f>
        <v/>
      </c>
      <c r="H154" s="32">
        <f>F154+G154</f>
        <v/>
      </c>
      <c r="I154" s="32">
        <f>SUMIFS(Encaissements!$E:$E,Encaissements!$B:$B,A154)</f>
        <v/>
      </c>
      <c r="J154" s="32">
        <f>ROUND(H154-I154,2)</f>
        <v/>
      </c>
      <c r="K154" s="30">
        <f>IF(J154&lt;=0.5,"Payée",IF(DateAnalyse&gt;E154,"En retard",IF(I154&gt;0,"Partielle","À échéance")))</f>
        <v/>
      </c>
      <c r="L154" s="33">
        <f>IF(K154="En retard",DateAnalyse-E154,0)</f>
        <v/>
      </c>
      <c r="M154" s="30">
        <f>IF(J154&lt;=0.5,"Soldée",IF(L154=0,"Non échue",IF(L154&lt;=30,"1–30 j",IF(L154&lt;=60,"31–60 j",IF(L154&lt;=90,"61–90 j","&gt; 90 j")))))</f>
        <v/>
      </c>
    </row>
    <row r="155">
      <c r="A155" s="30" t="inlineStr">
        <is>
          <t>FA-2026-0154</t>
        </is>
      </c>
      <c r="B155" s="31" t="n">
        <v>46301</v>
      </c>
      <c r="C155" s="30" t="inlineStr">
        <is>
          <t>C06</t>
        </is>
      </c>
      <c r="D155" s="30">
        <f>IFERROR(INDEX(Clients!$B:$B,MATCH(C155,Clients!$A:$A,0)),"Client inconnu")</f>
        <v/>
      </c>
      <c r="E155" s="31">
        <f>B155+IFERROR(INDEX(Clients!$D:$D,MATCH(C155,Clients!$A:$A,0)),30)</f>
        <v/>
      </c>
      <c r="F155" s="32">
        <f>SUMIFS(Lignes!$H:$H,Lignes!$A:$A,A155)</f>
        <v/>
      </c>
      <c r="G155" s="32">
        <f>SUMIFS(Lignes!$I:$I,Lignes!$A:$A,A155)</f>
        <v/>
      </c>
      <c r="H155" s="32">
        <f>F155+G155</f>
        <v/>
      </c>
      <c r="I155" s="32">
        <f>SUMIFS(Encaissements!$E:$E,Encaissements!$B:$B,A155)</f>
        <v/>
      </c>
      <c r="J155" s="32">
        <f>ROUND(H155-I155,2)</f>
        <v/>
      </c>
      <c r="K155" s="30">
        <f>IF(J155&lt;=0.5,"Payée",IF(DateAnalyse&gt;E155,"En retard",IF(I155&gt;0,"Partielle","À échéance")))</f>
        <v/>
      </c>
      <c r="L155" s="33">
        <f>IF(K155="En retard",DateAnalyse-E155,0)</f>
        <v/>
      </c>
      <c r="M155" s="30">
        <f>IF(J155&lt;=0.5,"Soldée",IF(L155=0,"Non échue",IF(L155&lt;=30,"1–30 j",IF(L155&lt;=60,"31–60 j",IF(L155&lt;=90,"61–90 j","&gt; 90 j")))))</f>
        <v/>
      </c>
    </row>
    <row r="156">
      <c r="A156" s="30" t="inlineStr">
        <is>
          <t>FA-2026-0155</t>
        </is>
      </c>
      <c r="B156" s="31" t="n">
        <v>46302</v>
      </c>
      <c r="C156" s="30" t="inlineStr">
        <is>
          <t>C07</t>
        </is>
      </c>
      <c r="D156" s="30">
        <f>IFERROR(INDEX(Clients!$B:$B,MATCH(C156,Clients!$A:$A,0)),"Client inconnu")</f>
        <v/>
      </c>
      <c r="E156" s="31">
        <f>B156+IFERROR(INDEX(Clients!$D:$D,MATCH(C156,Clients!$A:$A,0)),30)</f>
        <v/>
      </c>
      <c r="F156" s="32">
        <f>SUMIFS(Lignes!$H:$H,Lignes!$A:$A,A156)</f>
        <v/>
      </c>
      <c r="G156" s="32">
        <f>SUMIFS(Lignes!$I:$I,Lignes!$A:$A,A156)</f>
        <v/>
      </c>
      <c r="H156" s="32">
        <f>F156+G156</f>
        <v/>
      </c>
      <c r="I156" s="32">
        <f>SUMIFS(Encaissements!$E:$E,Encaissements!$B:$B,A156)</f>
        <v/>
      </c>
      <c r="J156" s="32">
        <f>ROUND(H156-I156,2)</f>
        <v/>
      </c>
      <c r="K156" s="30">
        <f>IF(J156&lt;=0.5,"Payée",IF(DateAnalyse&gt;E156,"En retard",IF(I156&gt;0,"Partielle","À échéance")))</f>
        <v/>
      </c>
      <c r="L156" s="33">
        <f>IF(K156="En retard",DateAnalyse-E156,0)</f>
        <v/>
      </c>
      <c r="M156" s="30">
        <f>IF(J156&lt;=0.5,"Soldée",IF(L156=0,"Non échue",IF(L156&lt;=30,"1–30 j",IF(L156&lt;=60,"31–60 j",IF(L156&lt;=90,"61–90 j","&gt; 90 j")))))</f>
        <v/>
      </c>
    </row>
    <row r="157">
      <c r="A157" s="30" t="inlineStr">
        <is>
          <t>FA-2026-0156</t>
        </is>
      </c>
      <c r="B157" s="31" t="n">
        <v>46307</v>
      </c>
      <c r="C157" s="30" t="inlineStr">
        <is>
          <t>C02</t>
        </is>
      </c>
      <c r="D157" s="30">
        <f>IFERROR(INDEX(Clients!$B:$B,MATCH(C157,Clients!$A:$A,0)),"Client inconnu")</f>
        <v/>
      </c>
      <c r="E157" s="31">
        <f>B157+IFERROR(INDEX(Clients!$D:$D,MATCH(C157,Clients!$A:$A,0)),30)</f>
        <v/>
      </c>
      <c r="F157" s="32">
        <f>SUMIFS(Lignes!$H:$H,Lignes!$A:$A,A157)</f>
        <v/>
      </c>
      <c r="G157" s="32">
        <f>SUMIFS(Lignes!$I:$I,Lignes!$A:$A,A157)</f>
        <v/>
      </c>
      <c r="H157" s="32">
        <f>F157+G157</f>
        <v/>
      </c>
      <c r="I157" s="32">
        <f>SUMIFS(Encaissements!$E:$E,Encaissements!$B:$B,A157)</f>
        <v/>
      </c>
      <c r="J157" s="32">
        <f>ROUND(H157-I157,2)</f>
        <v/>
      </c>
      <c r="K157" s="30">
        <f>IF(J157&lt;=0.5,"Payée",IF(DateAnalyse&gt;E157,"En retard",IF(I157&gt;0,"Partielle","À échéance")))</f>
        <v/>
      </c>
      <c r="L157" s="33">
        <f>IF(K157="En retard",DateAnalyse-E157,0)</f>
        <v/>
      </c>
      <c r="M157" s="30">
        <f>IF(J157&lt;=0.5,"Soldée",IF(L157=0,"Non échue",IF(L157&lt;=30,"1–30 j",IF(L157&lt;=60,"31–60 j",IF(L157&lt;=90,"61–90 j","&gt; 90 j")))))</f>
        <v/>
      </c>
    </row>
    <row r="158">
      <c r="A158" s="30" t="inlineStr">
        <is>
          <t>FA-2026-0157</t>
        </is>
      </c>
      <c r="B158" s="31" t="n">
        <v>46310</v>
      </c>
      <c r="C158" s="30" t="inlineStr">
        <is>
          <t>C06</t>
        </is>
      </c>
      <c r="D158" s="30">
        <f>IFERROR(INDEX(Clients!$B:$B,MATCH(C158,Clients!$A:$A,0)),"Client inconnu")</f>
        <v/>
      </c>
      <c r="E158" s="31">
        <f>B158+IFERROR(INDEX(Clients!$D:$D,MATCH(C158,Clients!$A:$A,0)),30)</f>
        <v/>
      </c>
      <c r="F158" s="32">
        <f>SUMIFS(Lignes!$H:$H,Lignes!$A:$A,A158)</f>
        <v/>
      </c>
      <c r="G158" s="32">
        <f>SUMIFS(Lignes!$I:$I,Lignes!$A:$A,A158)</f>
        <v/>
      </c>
      <c r="H158" s="32">
        <f>F158+G158</f>
        <v/>
      </c>
      <c r="I158" s="32">
        <f>SUMIFS(Encaissements!$E:$E,Encaissements!$B:$B,A158)</f>
        <v/>
      </c>
      <c r="J158" s="32">
        <f>ROUND(H158-I158,2)</f>
        <v/>
      </c>
      <c r="K158" s="30">
        <f>IF(J158&lt;=0.5,"Payée",IF(DateAnalyse&gt;E158,"En retard",IF(I158&gt;0,"Partielle","À échéance")))</f>
        <v/>
      </c>
      <c r="L158" s="33">
        <f>IF(K158="En retard",DateAnalyse-E158,0)</f>
        <v/>
      </c>
      <c r="M158" s="30">
        <f>IF(J158&lt;=0.5,"Soldée",IF(L158=0,"Non échue",IF(L158&lt;=30,"1–30 j",IF(L158&lt;=60,"31–60 j",IF(L158&lt;=90,"61–90 j","&gt; 90 j")))))</f>
        <v/>
      </c>
    </row>
    <row r="159">
      <c r="A159" s="30" t="inlineStr">
        <is>
          <t>FA-2026-0158</t>
        </is>
      </c>
      <c r="B159" s="31" t="n">
        <v>46313</v>
      </c>
      <c r="C159" s="30" t="inlineStr">
        <is>
          <t>C12</t>
        </is>
      </c>
      <c r="D159" s="30">
        <f>IFERROR(INDEX(Clients!$B:$B,MATCH(C159,Clients!$A:$A,0)),"Client inconnu")</f>
        <v/>
      </c>
      <c r="E159" s="31">
        <f>B159+IFERROR(INDEX(Clients!$D:$D,MATCH(C159,Clients!$A:$A,0)),30)</f>
        <v/>
      </c>
      <c r="F159" s="32">
        <f>SUMIFS(Lignes!$H:$H,Lignes!$A:$A,A159)</f>
        <v/>
      </c>
      <c r="G159" s="32">
        <f>SUMIFS(Lignes!$I:$I,Lignes!$A:$A,A159)</f>
        <v/>
      </c>
      <c r="H159" s="32">
        <f>F159+G159</f>
        <v/>
      </c>
      <c r="I159" s="32">
        <f>SUMIFS(Encaissements!$E:$E,Encaissements!$B:$B,A159)</f>
        <v/>
      </c>
      <c r="J159" s="32">
        <f>ROUND(H159-I159,2)</f>
        <v/>
      </c>
      <c r="K159" s="30">
        <f>IF(J159&lt;=0.5,"Payée",IF(DateAnalyse&gt;E159,"En retard",IF(I159&gt;0,"Partielle","À échéance")))</f>
        <v/>
      </c>
      <c r="L159" s="33">
        <f>IF(K159="En retard",DateAnalyse-E159,0)</f>
        <v/>
      </c>
      <c r="M159" s="30">
        <f>IF(J159&lt;=0.5,"Soldée",IF(L159=0,"Non échue",IF(L159&lt;=30,"1–30 j",IF(L159&lt;=60,"31–60 j",IF(L159&lt;=90,"61–90 j","&gt; 90 j")))))</f>
        <v/>
      </c>
    </row>
    <row r="160">
      <c r="A160" s="30" t="inlineStr">
        <is>
          <t>FA-2026-0159</t>
        </is>
      </c>
      <c r="B160" s="31" t="n">
        <v>46313</v>
      </c>
      <c r="C160" s="30" t="inlineStr">
        <is>
          <t>C11</t>
        </is>
      </c>
      <c r="D160" s="30">
        <f>IFERROR(INDEX(Clients!$B:$B,MATCH(C160,Clients!$A:$A,0)),"Client inconnu")</f>
        <v/>
      </c>
      <c r="E160" s="31">
        <f>B160+IFERROR(INDEX(Clients!$D:$D,MATCH(C160,Clients!$A:$A,0)),30)</f>
        <v/>
      </c>
      <c r="F160" s="32">
        <f>SUMIFS(Lignes!$H:$H,Lignes!$A:$A,A160)</f>
        <v/>
      </c>
      <c r="G160" s="32">
        <f>SUMIFS(Lignes!$I:$I,Lignes!$A:$A,A160)</f>
        <v/>
      </c>
      <c r="H160" s="32">
        <f>F160+G160</f>
        <v/>
      </c>
      <c r="I160" s="32">
        <f>SUMIFS(Encaissements!$E:$E,Encaissements!$B:$B,A160)</f>
        <v/>
      </c>
      <c r="J160" s="32">
        <f>ROUND(H160-I160,2)</f>
        <v/>
      </c>
      <c r="K160" s="30">
        <f>IF(J160&lt;=0.5,"Payée",IF(DateAnalyse&gt;E160,"En retard",IF(I160&gt;0,"Partielle","À échéance")))</f>
        <v/>
      </c>
      <c r="L160" s="33">
        <f>IF(K160="En retard",DateAnalyse-E160,0)</f>
        <v/>
      </c>
      <c r="M160" s="30">
        <f>IF(J160&lt;=0.5,"Soldée",IF(L160=0,"Non échue",IF(L160&lt;=30,"1–30 j",IF(L160&lt;=60,"31–60 j",IF(L160&lt;=90,"61–90 j","&gt; 90 j")))))</f>
        <v/>
      </c>
    </row>
    <row r="161">
      <c r="A161" s="30" t="inlineStr">
        <is>
          <t>FA-2026-0160</t>
        </is>
      </c>
      <c r="B161" s="31" t="n">
        <v>46314</v>
      </c>
      <c r="C161" s="30" t="inlineStr">
        <is>
          <t>C04</t>
        </is>
      </c>
      <c r="D161" s="30">
        <f>IFERROR(INDEX(Clients!$B:$B,MATCH(C161,Clients!$A:$A,0)),"Client inconnu")</f>
        <v/>
      </c>
      <c r="E161" s="31">
        <f>B161+IFERROR(INDEX(Clients!$D:$D,MATCH(C161,Clients!$A:$A,0)),30)</f>
        <v/>
      </c>
      <c r="F161" s="32">
        <f>SUMIFS(Lignes!$H:$H,Lignes!$A:$A,A161)</f>
        <v/>
      </c>
      <c r="G161" s="32">
        <f>SUMIFS(Lignes!$I:$I,Lignes!$A:$A,A161)</f>
        <v/>
      </c>
      <c r="H161" s="32">
        <f>F161+G161</f>
        <v/>
      </c>
      <c r="I161" s="32">
        <f>SUMIFS(Encaissements!$E:$E,Encaissements!$B:$B,A161)</f>
        <v/>
      </c>
      <c r="J161" s="32">
        <f>ROUND(H161-I161,2)</f>
        <v/>
      </c>
      <c r="K161" s="30">
        <f>IF(J161&lt;=0.5,"Payée",IF(DateAnalyse&gt;E161,"En retard",IF(I161&gt;0,"Partielle","À échéance")))</f>
        <v/>
      </c>
      <c r="L161" s="33">
        <f>IF(K161="En retard",DateAnalyse-E161,0)</f>
        <v/>
      </c>
      <c r="M161" s="30">
        <f>IF(J161&lt;=0.5,"Soldée",IF(L161=0,"Non échue",IF(L161&lt;=30,"1–30 j",IF(L161&lt;=60,"31–60 j",IF(L161&lt;=90,"61–90 j","&gt; 90 j")))))</f>
        <v/>
      </c>
    </row>
    <row r="162">
      <c r="A162" s="30" t="inlineStr">
        <is>
          <t>FA-2026-0161</t>
        </is>
      </c>
      <c r="B162" s="31" t="n">
        <v>46315</v>
      </c>
      <c r="C162" s="30" t="inlineStr">
        <is>
          <t>C09</t>
        </is>
      </c>
      <c r="D162" s="30">
        <f>IFERROR(INDEX(Clients!$B:$B,MATCH(C162,Clients!$A:$A,0)),"Client inconnu")</f>
        <v/>
      </c>
      <c r="E162" s="31">
        <f>B162+IFERROR(INDEX(Clients!$D:$D,MATCH(C162,Clients!$A:$A,0)),30)</f>
        <v/>
      </c>
      <c r="F162" s="32">
        <f>SUMIFS(Lignes!$H:$H,Lignes!$A:$A,A162)</f>
        <v/>
      </c>
      <c r="G162" s="32">
        <f>SUMIFS(Lignes!$I:$I,Lignes!$A:$A,A162)</f>
        <v/>
      </c>
      <c r="H162" s="32">
        <f>F162+G162</f>
        <v/>
      </c>
      <c r="I162" s="32">
        <f>SUMIFS(Encaissements!$E:$E,Encaissements!$B:$B,A162)</f>
        <v/>
      </c>
      <c r="J162" s="32">
        <f>ROUND(H162-I162,2)</f>
        <v/>
      </c>
      <c r="K162" s="30">
        <f>IF(J162&lt;=0.5,"Payée",IF(DateAnalyse&gt;E162,"En retard",IF(I162&gt;0,"Partielle","À échéance")))</f>
        <v/>
      </c>
      <c r="L162" s="33">
        <f>IF(K162="En retard",DateAnalyse-E162,0)</f>
        <v/>
      </c>
      <c r="M162" s="30">
        <f>IF(J162&lt;=0.5,"Soldée",IF(L162=0,"Non échue",IF(L162&lt;=30,"1–30 j",IF(L162&lt;=60,"31–60 j",IF(L162&lt;=90,"61–90 j","&gt; 90 j")))))</f>
        <v/>
      </c>
    </row>
    <row r="163">
      <c r="A163" s="30" t="inlineStr">
        <is>
          <t>FA-2026-0162</t>
        </is>
      </c>
      <c r="B163" s="31" t="n">
        <v>46316</v>
      </c>
      <c r="C163" s="30" t="inlineStr">
        <is>
          <t>C06</t>
        </is>
      </c>
      <c r="D163" s="30">
        <f>IFERROR(INDEX(Clients!$B:$B,MATCH(C163,Clients!$A:$A,0)),"Client inconnu")</f>
        <v/>
      </c>
      <c r="E163" s="31">
        <f>B163+IFERROR(INDEX(Clients!$D:$D,MATCH(C163,Clients!$A:$A,0)),30)</f>
        <v/>
      </c>
      <c r="F163" s="32">
        <f>SUMIFS(Lignes!$H:$H,Lignes!$A:$A,A163)</f>
        <v/>
      </c>
      <c r="G163" s="32">
        <f>SUMIFS(Lignes!$I:$I,Lignes!$A:$A,A163)</f>
        <v/>
      </c>
      <c r="H163" s="32">
        <f>F163+G163</f>
        <v/>
      </c>
      <c r="I163" s="32">
        <f>SUMIFS(Encaissements!$E:$E,Encaissements!$B:$B,A163)</f>
        <v/>
      </c>
      <c r="J163" s="32">
        <f>ROUND(H163-I163,2)</f>
        <v/>
      </c>
      <c r="K163" s="30">
        <f>IF(J163&lt;=0.5,"Payée",IF(DateAnalyse&gt;E163,"En retard",IF(I163&gt;0,"Partielle","À échéance")))</f>
        <v/>
      </c>
      <c r="L163" s="33">
        <f>IF(K163="En retard",DateAnalyse-E163,0)</f>
        <v/>
      </c>
      <c r="M163" s="30">
        <f>IF(J163&lt;=0.5,"Soldée",IF(L163=0,"Non échue",IF(L163&lt;=30,"1–30 j",IF(L163&lt;=60,"31–60 j",IF(L163&lt;=90,"61–90 j","&gt; 90 j")))))</f>
        <v/>
      </c>
    </row>
    <row r="164">
      <c r="A164" s="30" t="inlineStr">
        <is>
          <t>FA-2026-0163</t>
        </is>
      </c>
      <c r="B164" s="31" t="n">
        <v>46317</v>
      </c>
      <c r="C164" s="30" t="inlineStr">
        <is>
          <t>C10</t>
        </is>
      </c>
      <c r="D164" s="30">
        <f>IFERROR(INDEX(Clients!$B:$B,MATCH(C164,Clients!$A:$A,0)),"Client inconnu")</f>
        <v/>
      </c>
      <c r="E164" s="31">
        <f>B164+IFERROR(INDEX(Clients!$D:$D,MATCH(C164,Clients!$A:$A,0)),30)</f>
        <v/>
      </c>
      <c r="F164" s="32">
        <f>SUMIFS(Lignes!$H:$H,Lignes!$A:$A,A164)</f>
        <v/>
      </c>
      <c r="G164" s="32">
        <f>SUMIFS(Lignes!$I:$I,Lignes!$A:$A,A164)</f>
        <v/>
      </c>
      <c r="H164" s="32">
        <f>F164+G164</f>
        <v/>
      </c>
      <c r="I164" s="32">
        <f>SUMIFS(Encaissements!$E:$E,Encaissements!$B:$B,A164)</f>
        <v/>
      </c>
      <c r="J164" s="32">
        <f>ROUND(H164-I164,2)</f>
        <v/>
      </c>
      <c r="K164" s="30">
        <f>IF(J164&lt;=0.5,"Payée",IF(DateAnalyse&gt;E164,"En retard",IF(I164&gt;0,"Partielle","À échéance")))</f>
        <v/>
      </c>
      <c r="L164" s="33">
        <f>IF(K164="En retard",DateAnalyse-E164,0)</f>
        <v/>
      </c>
      <c r="M164" s="30">
        <f>IF(J164&lt;=0.5,"Soldée",IF(L164=0,"Non échue",IF(L164&lt;=30,"1–30 j",IF(L164&lt;=60,"31–60 j",IF(L164&lt;=90,"61–90 j","&gt; 90 j")))))</f>
        <v/>
      </c>
    </row>
    <row r="165">
      <c r="A165" s="30" t="inlineStr">
        <is>
          <t>FA-2026-0164</t>
        </is>
      </c>
      <c r="B165" s="31" t="n">
        <v>46320</v>
      </c>
      <c r="C165" s="30" t="inlineStr">
        <is>
          <t>C01</t>
        </is>
      </c>
      <c r="D165" s="30">
        <f>IFERROR(INDEX(Clients!$B:$B,MATCH(C165,Clients!$A:$A,0)),"Client inconnu")</f>
        <v/>
      </c>
      <c r="E165" s="31">
        <f>B165+IFERROR(INDEX(Clients!$D:$D,MATCH(C165,Clients!$A:$A,0)),30)</f>
        <v/>
      </c>
      <c r="F165" s="32">
        <f>SUMIFS(Lignes!$H:$H,Lignes!$A:$A,A165)</f>
        <v/>
      </c>
      <c r="G165" s="32">
        <f>SUMIFS(Lignes!$I:$I,Lignes!$A:$A,A165)</f>
        <v/>
      </c>
      <c r="H165" s="32">
        <f>F165+G165</f>
        <v/>
      </c>
      <c r="I165" s="32">
        <f>SUMIFS(Encaissements!$E:$E,Encaissements!$B:$B,A165)</f>
        <v/>
      </c>
      <c r="J165" s="32">
        <f>ROUND(H165-I165,2)</f>
        <v/>
      </c>
      <c r="K165" s="30">
        <f>IF(J165&lt;=0.5,"Payée",IF(DateAnalyse&gt;E165,"En retard",IF(I165&gt;0,"Partielle","À échéance")))</f>
        <v/>
      </c>
      <c r="L165" s="33">
        <f>IF(K165="En retard",DateAnalyse-E165,0)</f>
        <v/>
      </c>
      <c r="M165" s="30">
        <f>IF(J165&lt;=0.5,"Soldée",IF(L165=0,"Non échue",IF(L165&lt;=30,"1–30 j",IF(L165&lt;=60,"31–60 j",IF(L165&lt;=90,"61–90 j","&gt; 90 j")))))</f>
        <v/>
      </c>
    </row>
    <row r="166">
      <c r="A166" s="30" t="inlineStr">
        <is>
          <t>FA-2026-0165</t>
        </is>
      </c>
      <c r="B166" s="31" t="n">
        <v>46320</v>
      </c>
      <c r="C166" s="30" t="inlineStr">
        <is>
          <t>C01</t>
        </is>
      </c>
      <c r="D166" s="30">
        <f>IFERROR(INDEX(Clients!$B:$B,MATCH(C166,Clients!$A:$A,0)),"Client inconnu")</f>
        <v/>
      </c>
      <c r="E166" s="31">
        <f>B166+IFERROR(INDEX(Clients!$D:$D,MATCH(C166,Clients!$A:$A,0)),30)</f>
        <v/>
      </c>
      <c r="F166" s="32">
        <f>SUMIFS(Lignes!$H:$H,Lignes!$A:$A,A166)</f>
        <v/>
      </c>
      <c r="G166" s="32">
        <f>SUMIFS(Lignes!$I:$I,Lignes!$A:$A,A166)</f>
        <v/>
      </c>
      <c r="H166" s="32">
        <f>F166+G166</f>
        <v/>
      </c>
      <c r="I166" s="32">
        <f>SUMIFS(Encaissements!$E:$E,Encaissements!$B:$B,A166)</f>
        <v/>
      </c>
      <c r="J166" s="32">
        <f>ROUND(H166-I166,2)</f>
        <v/>
      </c>
      <c r="K166" s="30">
        <f>IF(J166&lt;=0.5,"Payée",IF(DateAnalyse&gt;E166,"En retard",IF(I166&gt;0,"Partielle","À échéance")))</f>
        <v/>
      </c>
      <c r="L166" s="33">
        <f>IF(K166="En retard",DateAnalyse-E166,0)</f>
        <v/>
      </c>
      <c r="M166" s="30">
        <f>IF(J166&lt;=0.5,"Soldée",IF(L166=0,"Non échue",IF(L166&lt;=30,"1–30 j",IF(L166&lt;=60,"31–60 j",IF(L166&lt;=90,"61–90 j","&gt; 90 j")))))</f>
        <v/>
      </c>
    </row>
    <row r="167">
      <c r="A167" s="30" t="inlineStr">
        <is>
          <t>FA-2026-0166</t>
        </is>
      </c>
      <c r="B167" s="31" t="n">
        <v>46321</v>
      </c>
      <c r="C167" s="30" t="inlineStr">
        <is>
          <t>C07</t>
        </is>
      </c>
      <c r="D167" s="30">
        <f>IFERROR(INDEX(Clients!$B:$B,MATCH(C167,Clients!$A:$A,0)),"Client inconnu")</f>
        <v/>
      </c>
      <c r="E167" s="31">
        <f>B167+IFERROR(INDEX(Clients!$D:$D,MATCH(C167,Clients!$A:$A,0)),30)</f>
        <v/>
      </c>
      <c r="F167" s="32">
        <f>SUMIFS(Lignes!$H:$H,Lignes!$A:$A,A167)</f>
        <v/>
      </c>
      <c r="G167" s="32">
        <f>SUMIFS(Lignes!$I:$I,Lignes!$A:$A,A167)</f>
        <v/>
      </c>
      <c r="H167" s="32">
        <f>F167+G167</f>
        <v/>
      </c>
      <c r="I167" s="32">
        <f>SUMIFS(Encaissements!$E:$E,Encaissements!$B:$B,A167)</f>
        <v/>
      </c>
      <c r="J167" s="32">
        <f>ROUND(H167-I167,2)</f>
        <v/>
      </c>
      <c r="K167" s="30">
        <f>IF(J167&lt;=0.5,"Payée",IF(DateAnalyse&gt;E167,"En retard",IF(I167&gt;0,"Partielle","À échéance")))</f>
        <v/>
      </c>
      <c r="L167" s="33">
        <f>IF(K167="En retard",DateAnalyse-E167,0)</f>
        <v/>
      </c>
      <c r="M167" s="30">
        <f>IF(J167&lt;=0.5,"Soldée",IF(L167=0,"Non échue",IF(L167&lt;=30,"1–30 j",IF(L167&lt;=60,"31–60 j",IF(L167&lt;=90,"61–90 j","&gt; 90 j")))))</f>
        <v/>
      </c>
    </row>
    <row r="168">
      <c r="A168" s="30" t="inlineStr">
        <is>
          <t>FA-2026-0167</t>
        </is>
      </c>
      <c r="B168" s="31" t="n">
        <v>46323</v>
      </c>
      <c r="C168" s="30" t="inlineStr">
        <is>
          <t>C04</t>
        </is>
      </c>
      <c r="D168" s="30">
        <f>IFERROR(INDEX(Clients!$B:$B,MATCH(C168,Clients!$A:$A,0)),"Client inconnu")</f>
        <v/>
      </c>
      <c r="E168" s="31">
        <f>B168+IFERROR(INDEX(Clients!$D:$D,MATCH(C168,Clients!$A:$A,0)),30)</f>
        <v/>
      </c>
      <c r="F168" s="32">
        <f>SUMIFS(Lignes!$H:$H,Lignes!$A:$A,A168)</f>
        <v/>
      </c>
      <c r="G168" s="32">
        <f>SUMIFS(Lignes!$I:$I,Lignes!$A:$A,A168)</f>
        <v/>
      </c>
      <c r="H168" s="32">
        <f>F168+G168</f>
        <v/>
      </c>
      <c r="I168" s="32">
        <f>SUMIFS(Encaissements!$E:$E,Encaissements!$B:$B,A168)</f>
        <v/>
      </c>
      <c r="J168" s="32">
        <f>ROUND(H168-I168,2)</f>
        <v/>
      </c>
      <c r="K168" s="30">
        <f>IF(J168&lt;=0.5,"Payée",IF(DateAnalyse&gt;E168,"En retard",IF(I168&gt;0,"Partielle","À échéance")))</f>
        <v/>
      </c>
      <c r="L168" s="33">
        <f>IF(K168="En retard",DateAnalyse-E168,0)</f>
        <v/>
      </c>
      <c r="M168" s="30">
        <f>IF(J168&lt;=0.5,"Soldée",IF(L168=0,"Non échue",IF(L168&lt;=30,"1–30 j",IF(L168&lt;=60,"31–60 j",IF(L168&lt;=90,"61–90 j","&gt; 90 j")))))</f>
        <v/>
      </c>
    </row>
  </sheetData>
  <conditionalFormatting sqref="K2:K168">
    <cfRule type="cellIs" priority="1" operator="equal" dxfId="2">
      <formula>"En retard"</formula>
    </cfRule>
    <cfRule type="cellIs" priority="2" operator="equal" dxfId="3">
      <formula>"Payée"</formula>
    </cfRule>
    <cfRule type="cellIs" priority="3" operator="equal" dxfId="4">
      <formula>"Partielle"</formula>
    </cfRule>
    <cfRule type="cellIs" priority="4" operator="equal" dxfId="5">
      <formula>"À échéance"</formula>
    </cfRule>
  </conditionalFormatting>
  <conditionalFormatting sqref="J2:J168">
    <cfRule type="dataBar" priority="5">
      <dataBar>
        <cfvo type="num" val="0"/>
        <cfvo type="max"/>
        <color rgb="00F97066"/>
      </dataBar>
    </cfRule>
  </conditionalFormatting>
  <dataValidations count="1">
    <dataValidation sqref="C2:C268" showDropDown="0" showInputMessage="0" showErrorMessage="0" allowBlank="1" type="list">
      <formula1>Clients!$A$2:$A$13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D0CCBE"/>
    <outlinePr summaryBelow="1" summaryRight="1"/>
    <pageSetUpPr/>
  </sheetPr>
  <dimension ref="A1:I58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9" customWidth="1" min="2" max="2"/>
    <col width="36" customWidth="1" min="3" max="3"/>
    <col width="8" customWidth="1" min="4" max="4"/>
    <col width="13" customWidth="1" min="5" max="5"/>
    <col width="9" customWidth="1" min="6" max="6"/>
    <col width="9" customWidth="1" min="7" max="7"/>
    <col width="15" customWidth="1" min="8" max="8"/>
    <col width="13" customWidth="1" min="9" max="9"/>
  </cols>
  <sheetData>
    <row r="1" ht="30" customHeight="1">
      <c r="A1" s="29" t="inlineStr">
        <is>
          <t>N° facture</t>
        </is>
      </c>
      <c r="B1" s="29" t="inlineStr">
        <is>
          <t>Réf</t>
        </is>
      </c>
      <c r="C1" s="29" t="inlineStr">
        <is>
          <t>Désignation</t>
        </is>
      </c>
      <c r="D1" s="29" t="inlineStr">
        <is>
          <t>Qté</t>
        </is>
      </c>
      <c r="E1" s="29" t="inlineStr">
        <is>
          <t>PU HT</t>
        </is>
      </c>
      <c r="F1" s="29" t="inlineStr">
        <is>
          <t>Remise</t>
        </is>
      </c>
      <c r="G1" s="29" t="inlineStr">
        <is>
          <t>Taux TVA</t>
        </is>
      </c>
      <c r="H1" s="29" t="inlineStr">
        <is>
          <t>Montant HT</t>
        </is>
      </c>
      <c r="I1" s="29" t="inlineStr">
        <is>
          <t>TVA</t>
        </is>
      </c>
    </row>
    <row r="2">
      <c r="A2" s="30" t="inlineStr">
        <is>
          <t>FA-2026-0001</t>
        </is>
      </c>
      <c r="B2" s="30" t="inlineStr">
        <is>
          <t>HO-5</t>
        </is>
      </c>
      <c r="C2" s="30">
        <f>IFERROR(INDEX(Produits!$B:$B,MATCH(B2,Produits!$A:$A,0)),"Réf inconnue")</f>
        <v/>
      </c>
      <c r="D2" s="30" t="n">
        <v>3</v>
      </c>
      <c r="E2" s="32">
        <f>IFERROR(INDEX(Produits!$D:$D,MATCH(B2,Produits!$A:$A,0)),0)</f>
        <v/>
      </c>
      <c r="F2" s="34" t="n">
        <v>0</v>
      </c>
      <c r="G2" s="35">
        <f>IFERROR(INDEX(Produits!$E:$E,MATCH(B2,Produits!$A:$A,0)),0)</f>
        <v/>
      </c>
      <c r="H2" s="32">
        <f>ROUND(D2*E2*(1-F2),2)</f>
        <v/>
      </c>
      <c r="I2" s="32">
        <f>ROUND(H2*G2,2)</f>
        <v/>
      </c>
    </row>
    <row r="3">
      <c r="A3" s="30" t="inlineStr">
        <is>
          <t>FA-2026-0001</t>
        </is>
      </c>
      <c r="B3" s="30" t="inlineStr">
        <is>
          <t>SV-O</t>
        </is>
      </c>
      <c r="C3" s="30">
        <f>IFERROR(INDEX(Produits!$B:$B,MATCH(B3,Produits!$A:$A,0)),"Réf inconnue")</f>
        <v/>
      </c>
      <c r="D3" s="30" t="n">
        <v>12</v>
      </c>
      <c r="E3" s="32">
        <f>IFERROR(INDEX(Produits!$D:$D,MATCH(B3,Produits!$A:$A,0)),0)</f>
        <v/>
      </c>
      <c r="F3" s="34" t="n">
        <v>0</v>
      </c>
      <c r="G3" s="35">
        <f>IFERROR(INDEX(Produits!$E:$E,MATCH(B3,Produits!$A:$A,0)),0)</f>
        <v/>
      </c>
      <c r="H3" s="32">
        <f>ROUND(D3*E3*(1-F3),2)</f>
        <v/>
      </c>
      <c r="I3" s="32">
        <f>ROUND(H3*G3,2)</f>
        <v/>
      </c>
    </row>
    <row r="4">
      <c r="A4" s="30" t="inlineStr">
        <is>
          <t>FA-2026-0002</t>
        </is>
      </c>
      <c r="B4" s="30" t="inlineStr">
        <is>
          <t>HO-T3</t>
        </is>
      </c>
      <c r="C4" s="30">
        <f>IFERROR(INDEX(Produits!$B:$B,MATCH(B4,Produits!$A:$A,0)),"Réf inconnue")</f>
        <v/>
      </c>
      <c r="D4" s="30" t="n">
        <v>5</v>
      </c>
      <c r="E4" s="32">
        <f>IFERROR(INDEX(Produits!$D:$D,MATCH(B4,Produits!$A:$A,0)),0)</f>
        <v/>
      </c>
      <c r="F4" s="34" t="n">
        <v>0</v>
      </c>
      <c r="G4" s="35">
        <f>IFERROR(INDEX(Produits!$E:$E,MATCH(B4,Produits!$A:$A,0)),0)</f>
        <v/>
      </c>
      <c r="H4" s="32">
        <f>ROUND(D4*E4*(1-F4),2)</f>
        <v/>
      </c>
      <c r="I4" s="32">
        <f>ROUND(H4*G4,2)</f>
        <v/>
      </c>
    </row>
    <row r="5">
      <c r="A5" s="30" t="inlineStr">
        <is>
          <t>FA-2026-0002</t>
        </is>
      </c>
      <c r="B5" s="30" t="inlineStr">
        <is>
          <t>HO-05</t>
        </is>
      </c>
      <c r="C5" s="30">
        <f>IFERROR(INDEX(Produits!$B:$B,MATCH(B5,Produits!$A:$A,0)),"Réf inconnue")</f>
        <v/>
      </c>
      <c r="D5" s="30" t="n">
        <v>11</v>
      </c>
      <c r="E5" s="32">
        <f>IFERROR(INDEX(Produits!$D:$D,MATCH(B5,Produits!$A:$A,0)),0)</f>
        <v/>
      </c>
      <c r="F5" s="34" t="n">
        <v>0</v>
      </c>
      <c r="G5" s="35">
        <f>IFERROR(INDEX(Produits!$E:$E,MATCH(B5,Produits!$A:$A,0)),0)</f>
        <v/>
      </c>
      <c r="H5" s="32">
        <f>ROUND(D5*E5*(1-F5),2)</f>
        <v/>
      </c>
      <c r="I5" s="32">
        <f>ROUND(H5*G5,2)</f>
        <v/>
      </c>
    </row>
    <row r="6">
      <c r="A6" s="30" t="inlineStr">
        <is>
          <t>FA-2026-0002</t>
        </is>
      </c>
      <c r="B6" s="30" t="inlineStr">
        <is>
          <t>CF-P</t>
        </is>
      </c>
      <c r="C6" s="30">
        <f>IFERROR(INDEX(Produits!$B:$B,MATCH(B6,Produits!$A:$A,0)),"Réf inconnue")</f>
        <v/>
      </c>
      <c r="D6" s="30" t="n">
        <v>1</v>
      </c>
      <c r="E6" s="32">
        <f>IFERROR(INDEX(Produits!$D:$D,MATCH(B6,Produits!$A:$A,0)),0)</f>
        <v/>
      </c>
      <c r="F6" s="34" t="n">
        <v>0</v>
      </c>
      <c r="G6" s="35">
        <f>IFERROR(INDEX(Produits!$E:$E,MATCH(B6,Produits!$A:$A,0)),0)</f>
        <v/>
      </c>
      <c r="H6" s="32">
        <f>ROUND(D6*E6*(1-F6),2)</f>
        <v/>
      </c>
      <c r="I6" s="32">
        <f>ROUND(H6*G6,2)</f>
        <v/>
      </c>
    </row>
    <row r="7">
      <c r="A7" s="30" t="inlineStr">
        <is>
          <t>FA-2026-0002</t>
        </is>
      </c>
      <c r="B7" s="30" t="inlineStr">
        <is>
          <t>HO-1</t>
        </is>
      </c>
      <c r="C7" s="30">
        <f>IFERROR(INDEX(Produits!$B:$B,MATCH(B7,Produits!$A:$A,0)),"Réf inconnue")</f>
        <v/>
      </c>
      <c r="D7" s="30" t="n">
        <v>14</v>
      </c>
      <c r="E7" s="32">
        <f>IFERROR(INDEX(Produits!$D:$D,MATCH(B7,Produits!$A:$A,0)),0)</f>
        <v/>
      </c>
      <c r="F7" s="34" t="n">
        <v>0</v>
      </c>
      <c r="G7" s="35">
        <f>IFERROR(INDEX(Produits!$E:$E,MATCH(B7,Produits!$A:$A,0)),0)</f>
        <v/>
      </c>
      <c r="H7" s="32">
        <f>ROUND(D7*E7*(1-F7),2)</f>
        <v/>
      </c>
      <c r="I7" s="32">
        <f>ROUND(H7*G7,2)</f>
        <v/>
      </c>
    </row>
    <row r="8">
      <c r="A8" s="30" t="inlineStr">
        <is>
          <t>FA-2026-0002</t>
        </is>
      </c>
      <c r="B8" s="30" t="inlineStr">
        <is>
          <t>TP-O</t>
        </is>
      </c>
      <c r="C8" s="30">
        <f>IFERROR(INDEX(Produits!$B:$B,MATCH(B8,Produits!$A:$A,0)),"Réf inconnue")</f>
        <v/>
      </c>
      <c r="D8" s="30" t="n">
        <v>13</v>
      </c>
      <c r="E8" s="32">
        <f>IFERROR(INDEX(Produits!$D:$D,MATCH(B8,Produits!$A:$A,0)),0)</f>
        <v/>
      </c>
      <c r="F8" s="34" t="n">
        <v>0</v>
      </c>
      <c r="G8" s="35">
        <f>IFERROR(INDEX(Produits!$E:$E,MATCH(B8,Produits!$A:$A,0)),0)</f>
        <v/>
      </c>
      <c r="H8" s="32">
        <f>ROUND(D8*E8*(1-F8),2)</f>
        <v/>
      </c>
      <c r="I8" s="32">
        <f>ROUND(H8*G8,2)</f>
        <v/>
      </c>
    </row>
    <row r="9">
      <c r="A9" s="30" t="inlineStr">
        <is>
          <t>FA-2026-0003</t>
        </is>
      </c>
      <c r="B9" s="30" t="inlineStr">
        <is>
          <t>HO-05</t>
        </is>
      </c>
      <c r="C9" s="30">
        <f>IFERROR(INDEX(Produits!$B:$B,MATCH(B9,Produits!$A:$A,0)),"Réf inconnue")</f>
        <v/>
      </c>
      <c r="D9" s="30" t="n">
        <v>44</v>
      </c>
      <c r="E9" s="32">
        <f>IFERROR(INDEX(Produits!$D:$D,MATCH(B9,Produits!$A:$A,0)),0)</f>
        <v/>
      </c>
      <c r="F9" s="34" t="n">
        <v>0.05</v>
      </c>
      <c r="G9" s="35">
        <f>IFERROR(INDEX(Produits!$E:$E,MATCH(B9,Produits!$A:$A,0)),0)</f>
        <v/>
      </c>
      <c r="H9" s="32">
        <f>ROUND(D9*E9*(1-F9),2)</f>
        <v/>
      </c>
      <c r="I9" s="32">
        <f>ROUND(H9*G9,2)</f>
        <v/>
      </c>
    </row>
    <row r="10">
      <c r="A10" s="30" t="inlineStr">
        <is>
          <t>FA-2026-0003</t>
        </is>
      </c>
      <c r="B10" s="30" t="inlineStr">
        <is>
          <t>OL-V</t>
        </is>
      </c>
      <c r="C10" s="30">
        <f>IFERROR(INDEX(Produits!$B:$B,MATCH(B10,Produits!$A:$A,0)),"Réf inconnue")</f>
        <v/>
      </c>
      <c r="D10" s="30" t="n">
        <v>30</v>
      </c>
      <c r="E10" s="32">
        <f>IFERROR(INDEX(Produits!$D:$D,MATCH(B10,Produits!$A:$A,0)),0)</f>
        <v/>
      </c>
      <c r="F10" s="34" t="n">
        <v>0</v>
      </c>
      <c r="G10" s="35">
        <f>IFERROR(INDEX(Produits!$E:$E,MATCH(B10,Produits!$A:$A,0)),0)</f>
        <v/>
      </c>
      <c r="H10" s="32">
        <f>ROUND(D10*E10*(1-F10),2)</f>
        <v/>
      </c>
      <c r="I10" s="32">
        <f>ROUND(H10*G10,2)</f>
        <v/>
      </c>
    </row>
    <row r="11">
      <c r="A11" s="30" t="inlineStr">
        <is>
          <t>FA-2026-0004</t>
        </is>
      </c>
      <c r="B11" s="30" t="inlineStr">
        <is>
          <t>TP-O</t>
        </is>
      </c>
      <c r="C11" s="30">
        <f>IFERROR(INDEX(Produits!$B:$B,MATCH(B11,Produits!$A:$A,0)),"Réf inconnue")</f>
        <v/>
      </c>
      <c r="D11" s="30" t="n">
        <v>45</v>
      </c>
      <c r="E11" s="32">
        <f>IFERROR(INDEX(Produits!$D:$D,MATCH(B11,Produits!$A:$A,0)),0)</f>
        <v/>
      </c>
      <c r="F11" s="34" t="n">
        <v>0</v>
      </c>
      <c r="G11" s="35">
        <f>IFERROR(INDEX(Produits!$E:$E,MATCH(B11,Produits!$A:$A,0)),0)</f>
        <v/>
      </c>
      <c r="H11" s="32">
        <f>ROUND(D11*E11*(1-F11),2)</f>
        <v/>
      </c>
      <c r="I11" s="32">
        <f>ROUND(H11*G11,2)</f>
        <v/>
      </c>
    </row>
    <row r="12">
      <c r="A12" s="30" t="inlineStr">
        <is>
          <t>FA-2026-0004</t>
        </is>
      </c>
      <c r="B12" s="30" t="inlineStr">
        <is>
          <t>CF-P</t>
        </is>
      </c>
      <c r="C12" s="30">
        <f>IFERROR(INDEX(Produits!$B:$B,MATCH(B12,Produits!$A:$A,0)),"Réf inconnue")</f>
        <v/>
      </c>
      <c r="D12" s="30" t="n">
        <v>2</v>
      </c>
      <c r="E12" s="32">
        <f>IFERROR(INDEX(Produits!$D:$D,MATCH(B12,Produits!$A:$A,0)),0)</f>
        <v/>
      </c>
      <c r="F12" s="34" t="n">
        <v>0.05</v>
      </c>
      <c r="G12" s="35">
        <f>IFERROR(INDEX(Produits!$E:$E,MATCH(B12,Produits!$A:$A,0)),0)</f>
        <v/>
      </c>
      <c r="H12" s="32">
        <f>ROUND(D12*E12*(1-F12),2)</f>
        <v/>
      </c>
      <c r="I12" s="32">
        <f>ROUND(H12*G12,2)</f>
        <v/>
      </c>
    </row>
    <row r="13">
      <c r="A13" s="30" t="inlineStr">
        <is>
          <t>FA-2026-0004</t>
        </is>
      </c>
      <c r="B13" s="30" t="inlineStr">
        <is>
          <t>HO-T3</t>
        </is>
      </c>
      <c r="C13" s="30">
        <f>IFERROR(INDEX(Produits!$B:$B,MATCH(B13,Produits!$A:$A,0)),"Réf inconnue")</f>
        <v/>
      </c>
      <c r="D13" s="30" t="n">
        <v>24</v>
      </c>
      <c r="E13" s="32">
        <f>IFERROR(INDEX(Produits!$D:$D,MATCH(B13,Produits!$A:$A,0)),0)</f>
        <v/>
      </c>
      <c r="F13" s="34" t="n">
        <v>0.03</v>
      </c>
      <c r="G13" s="35">
        <f>IFERROR(INDEX(Produits!$E:$E,MATCH(B13,Produits!$A:$A,0)),0)</f>
        <v/>
      </c>
      <c r="H13" s="32">
        <f>ROUND(D13*E13*(1-F13),2)</f>
        <v/>
      </c>
      <c r="I13" s="32">
        <f>ROUND(H13*G13,2)</f>
        <v/>
      </c>
    </row>
    <row r="14">
      <c r="A14" s="30" t="inlineStr">
        <is>
          <t>FA-2026-0004</t>
        </is>
      </c>
      <c r="B14" s="30" t="inlineStr">
        <is>
          <t>HO-05</t>
        </is>
      </c>
      <c r="C14" s="30">
        <f>IFERROR(INDEX(Produits!$B:$B,MATCH(B14,Produits!$A:$A,0)),"Réf inconnue")</f>
        <v/>
      </c>
      <c r="D14" s="30" t="n">
        <v>33</v>
      </c>
      <c r="E14" s="32">
        <f>IFERROR(INDEX(Produits!$D:$D,MATCH(B14,Produits!$A:$A,0)),0)</f>
        <v/>
      </c>
      <c r="F14" s="34" t="n">
        <v>0.05</v>
      </c>
      <c r="G14" s="35">
        <f>IFERROR(INDEX(Produits!$E:$E,MATCH(B14,Produits!$A:$A,0)),0)</f>
        <v/>
      </c>
      <c r="H14" s="32">
        <f>ROUND(D14*E14*(1-F14),2)</f>
        <v/>
      </c>
      <c r="I14" s="32">
        <f>ROUND(H14*G14,2)</f>
        <v/>
      </c>
    </row>
    <row r="15">
      <c r="A15" s="30" t="inlineStr">
        <is>
          <t>FA-2026-0005</t>
        </is>
      </c>
      <c r="B15" s="30" t="inlineStr">
        <is>
          <t>HO-05</t>
        </is>
      </c>
      <c r="C15" s="30">
        <f>IFERROR(INDEX(Produits!$B:$B,MATCH(B15,Produits!$A:$A,0)),"Réf inconnue")</f>
        <v/>
      </c>
      <c r="D15" s="30" t="n">
        <v>4</v>
      </c>
      <c r="E15" s="32">
        <f>IFERROR(INDEX(Produits!$D:$D,MATCH(B15,Produits!$A:$A,0)),0)</f>
        <v/>
      </c>
      <c r="F15" s="34" t="n">
        <v>0</v>
      </c>
      <c r="G15" s="35">
        <f>IFERROR(INDEX(Produits!$E:$E,MATCH(B15,Produits!$A:$A,0)),0)</f>
        <v/>
      </c>
      <c r="H15" s="32">
        <f>ROUND(D15*E15*(1-F15),2)</f>
        <v/>
      </c>
      <c r="I15" s="32">
        <f>ROUND(H15*G15,2)</f>
        <v/>
      </c>
    </row>
    <row r="16">
      <c r="A16" s="30" t="inlineStr">
        <is>
          <t>FA-2026-0005</t>
        </is>
      </c>
      <c r="B16" s="30" t="inlineStr">
        <is>
          <t>TP-O</t>
        </is>
      </c>
      <c r="C16" s="30">
        <f>IFERROR(INDEX(Produits!$B:$B,MATCH(B16,Produits!$A:$A,0)),"Réf inconnue")</f>
        <v/>
      </c>
      <c r="D16" s="30" t="n">
        <v>6</v>
      </c>
      <c r="E16" s="32">
        <f>IFERROR(INDEX(Produits!$D:$D,MATCH(B16,Produits!$A:$A,0)),0)</f>
        <v/>
      </c>
      <c r="F16" s="34" t="n">
        <v>0</v>
      </c>
      <c r="G16" s="35">
        <f>IFERROR(INDEX(Produits!$E:$E,MATCH(B16,Produits!$A:$A,0)),0)</f>
        <v/>
      </c>
      <c r="H16" s="32">
        <f>ROUND(D16*E16*(1-F16),2)</f>
        <v/>
      </c>
      <c r="I16" s="32">
        <f>ROUND(H16*G16,2)</f>
        <v/>
      </c>
    </row>
    <row r="17">
      <c r="A17" s="30" t="inlineStr">
        <is>
          <t>FA-2026-0006</t>
        </is>
      </c>
      <c r="B17" s="30" t="inlineStr">
        <is>
          <t>SV-O</t>
        </is>
      </c>
      <c r="C17" s="30">
        <f>IFERROR(INDEX(Produits!$B:$B,MATCH(B17,Produits!$A:$A,0)),"Réf inconnue")</f>
        <v/>
      </c>
      <c r="D17" s="30" t="n">
        <v>24</v>
      </c>
      <c r="E17" s="32">
        <f>IFERROR(INDEX(Produits!$D:$D,MATCH(B17,Produits!$A:$A,0)),0)</f>
        <v/>
      </c>
      <c r="F17" s="34" t="n">
        <v>0</v>
      </c>
      <c r="G17" s="35">
        <f>IFERROR(INDEX(Produits!$E:$E,MATCH(B17,Produits!$A:$A,0)),0)</f>
        <v/>
      </c>
      <c r="H17" s="32">
        <f>ROUND(D17*E17*(1-F17),2)</f>
        <v/>
      </c>
      <c r="I17" s="32">
        <f>ROUND(H17*G17,2)</f>
        <v/>
      </c>
    </row>
    <row r="18">
      <c r="A18" s="30" t="inlineStr">
        <is>
          <t>FA-2026-0006</t>
        </is>
      </c>
      <c r="B18" s="30" t="inlineStr">
        <is>
          <t>HO-1</t>
        </is>
      </c>
      <c r="C18" s="30">
        <f>IFERROR(INDEX(Produits!$B:$B,MATCH(B18,Produits!$A:$A,0)),"Réf inconnue")</f>
        <v/>
      </c>
      <c r="D18" s="30" t="n">
        <v>11</v>
      </c>
      <c r="E18" s="32">
        <f>IFERROR(INDEX(Produits!$D:$D,MATCH(B18,Produits!$A:$A,0)),0)</f>
        <v/>
      </c>
      <c r="F18" s="34" t="n">
        <v>0</v>
      </c>
      <c r="G18" s="35">
        <f>IFERROR(INDEX(Produits!$E:$E,MATCH(B18,Produits!$A:$A,0)),0)</f>
        <v/>
      </c>
      <c r="H18" s="32">
        <f>ROUND(D18*E18*(1-F18),2)</f>
        <v/>
      </c>
      <c r="I18" s="32">
        <f>ROUND(H18*G18,2)</f>
        <v/>
      </c>
    </row>
    <row r="19">
      <c r="A19" s="30" t="inlineStr">
        <is>
          <t>FA-2026-0006</t>
        </is>
      </c>
      <c r="B19" s="30" t="inlineStr">
        <is>
          <t>HO-05</t>
        </is>
      </c>
      <c r="C19" s="30">
        <f>IFERROR(INDEX(Produits!$B:$B,MATCH(B19,Produits!$A:$A,0)),"Réf inconnue")</f>
        <v/>
      </c>
      <c r="D19" s="30" t="n">
        <v>27</v>
      </c>
      <c r="E19" s="32">
        <f>IFERROR(INDEX(Produits!$D:$D,MATCH(B19,Produits!$A:$A,0)),0)</f>
        <v/>
      </c>
      <c r="F19" s="34" t="n">
        <v>0</v>
      </c>
      <c r="G19" s="35">
        <f>IFERROR(INDEX(Produits!$E:$E,MATCH(B19,Produits!$A:$A,0)),0)</f>
        <v/>
      </c>
      <c r="H19" s="32">
        <f>ROUND(D19*E19*(1-F19),2)</f>
        <v/>
      </c>
      <c r="I19" s="32">
        <f>ROUND(H19*G19,2)</f>
        <v/>
      </c>
    </row>
    <row r="20">
      <c r="A20" s="30" t="inlineStr">
        <is>
          <t>FA-2026-0006</t>
        </is>
      </c>
      <c r="B20" s="30" t="inlineStr">
        <is>
          <t>HO-5</t>
        </is>
      </c>
      <c r="C20" s="30">
        <f>IFERROR(INDEX(Produits!$B:$B,MATCH(B20,Produits!$A:$A,0)),"Réf inconnue")</f>
        <v/>
      </c>
      <c r="D20" s="30" t="n">
        <v>7</v>
      </c>
      <c r="E20" s="32">
        <f>IFERROR(INDEX(Produits!$D:$D,MATCH(B20,Produits!$A:$A,0)),0)</f>
        <v/>
      </c>
      <c r="F20" s="34" t="n">
        <v>0</v>
      </c>
      <c r="G20" s="35">
        <f>IFERROR(INDEX(Produits!$E:$E,MATCH(B20,Produits!$A:$A,0)),0)</f>
        <v/>
      </c>
      <c r="H20" s="32">
        <f>ROUND(D20*E20*(1-F20),2)</f>
        <v/>
      </c>
      <c r="I20" s="32">
        <f>ROUND(H20*G20,2)</f>
        <v/>
      </c>
    </row>
    <row r="21">
      <c r="A21" s="30" t="inlineStr">
        <is>
          <t>FA-2026-0006</t>
        </is>
      </c>
      <c r="B21" s="30" t="inlineStr">
        <is>
          <t>CF-P</t>
        </is>
      </c>
      <c r="C21" s="30">
        <f>IFERROR(INDEX(Produits!$B:$B,MATCH(B21,Produits!$A:$A,0)),"Réf inconnue")</f>
        <v/>
      </c>
      <c r="D21" s="30" t="n">
        <v>5</v>
      </c>
      <c r="E21" s="32">
        <f>IFERROR(INDEX(Produits!$D:$D,MATCH(B21,Produits!$A:$A,0)),0)</f>
        <v/>
      </c>
      <c r="F21" s="34" t="n">
        <v>0</v>
      </c>
      <c r="G21" s="35">
        <f>IFERROR(INDEX(Produits!$E:$E,MATCH(B21,Produits!$A:$A,0)),0)</f>
        <v/>
      </c>
      <c r="H21" s="32">
        <f>ROUND(D21*E21*(1-F21),2)</f>
        <v/>
      </c>
      <c r="I21" s="32">
        <f>ROUND(H21*G21,2)</f>
        <v/>
      </c>
    </row>
    <row r="22">
      <c r="A22" s="30" t="inlineStr">
        <is>
          <t>FA-2026-0007</t>
        </is>
      </c>
      <c r="B22" s="30" t="inlineStr">
        <is>
          <t>OL-N</t>
        </is>
      </c>
      <c r="C22" s="30">
        <f>IFERROR(INDEX(Produits!$B:$B,MATCH(B22,Produits!$A:$A,0)),"Réf inconnue")</f>
        <v/>
      </c>
      <c r="D22" s="30" t="n">
        <v>21</v>
      </c>
      <c r="E22" s="32">
        <f>IFERROR(INDEX(Produits!$D:$D,MATCH(B22,Produits!$A:$A,0)),0)</f>
        <v/>
      </c>
      <c r="F22" s="34" t="n">
        <v>0</v>
      </c>
      <c r="G22" s="35">
        <f>IFERROR(INDEX(Produits!$E:$E,MATCH(B22,Produits!$A:$A,0)),0)</f>
        <v/>
      </c>
      <c r="H22" s="32">
        <f>ROUND(D22*E22*(1-F22),2)</f>
        <v/>
      </c>
      <c r="I22" s="32">
        <f>ROUND(H22*G22,2)</f>
        <v/>
      </c>
    </row>
    <row r="23">
      <c r="A23" s="30" t="inlineStr">
        <is>
          <t>FA-2026-0007</t>
        </is>
      </c>
      <c r="B23" s="30" t="inlineStr">
        <is>
          <t>CF-D</t>
        </is>
      </c>
      <c r="C23" s="30">
        <f>IFERROR(INDEX(Produits!$B:$B,MATCH(B23,Produits!$A:$A,0)),"Réf inconnue")</f>
        <v/>
      </c>
      <c r="D23" s="30" t="n">
        <v>1</v>
      </c>
      <c r="E23" s="32">
        <f>IFERROR(INDEX(Produits!$D:$D,MATCH(B23,Produits!$A:$A,0)),0)</f>
        <v/>
      </c>
      <c r="F23" s="34" t="n">
        <v>0</v>
      </c>
      <c r="G23" s="35">
        <f>IFERROR(INDEX(Produits!$E:$E,MATCH(B23,Produits!$A:$A,0)),0)</f>
        <v/>
      </c>
      <c r="H23" s="32">
        <f>ROUND(D23*E23*(1-F23),2)</f>
        <v/>
      </c>
      <c r="I23" s="32">
        <f>ROUND(H23*G23,2)</f>
        <v/>
      </c>
    </row>
    <row r="24">
      <c r="A24" s="30" t="inlineStr">
        <is>
          <t>FA-2026-0007</t>
        </is>
      </c>
      <c r="B24" s="30" t="inlineStr">
        <is>
          <t>SV-O</t>
        </is>
      </c>
      <c r="C24" s="30">
        <f>IFERROR(INDEX(Produits!$B:$B,MATCH(B24,Produits!$A:$A,0)),"Réf inconnue")</f>
        <v/>
      </c>
      <c r="D24" s="30" t="n">
        <v>28</v>
      </c>
      <c r="E24" s="32">
        <f>IFERROR(INDEX(Produits!$D:$D,MATCH(B24,Produits!$A:$A,0)),0)</f>
        <v/>
      </c>
      <c r="F24" s="34" t="n">
        <v>0</v>
      </c>
      <c r="G24" s="35">
        <f>IFERROR(INDEX(Produits!$E:$E,MATCH(B24,Produits!$A:$A,0)),0)</f>
        <v/>
      </c>
      <c r="H24" s="32">
        <f>ROUND(D24*E24*(1-F24),2)</f>
        <v/>
      </c>
      <c r="I24" s="32">
        <f>ROUND(H24*G24,2)</f>
        <v/>
      </c>
    </row>
    <row r="25">
      <c r="A25" s="30" t="inlineStr">
        <is>
          <t>FA-2026-0007</t>
        </is>
      </c>
      <c r="B25" s="30" t="inlineStr">
        <is>
          <t>OL-V</t>
        </is>
      </c>
      <c r="C25" s="30">
        <f>IFERROR(INDEX(Produits!$B:$B,MATCH(B25,Produits!$A:$A,0)),"Réf inconnue")</f>
        <v/>
      </c>
      <c r="D25" s="30" t="n">
        <v>5</v>
      </c>
      <c r="E25" s="32">
        <f>IFERROR(INDEX(Produits!$D:$D,MATCH(B25,Produits!$A:$A,0)),0)</f>
        <v/>
      </c>
      <c r="F25" s="34" t="n">
        <v>0</v>
      </c>
      <c r="G25" s="35">
        <f>IFERROR(INDEX(Produits!$E:$E,MATCH(B25,Produits!$A:$A,0)),0)</f>
        <v/>
      </c>
      <c r="H25" s="32">
        <f>ROUND(D25*E25*(1-F25),2)</f>
        <v/>
      </c>
      <c r="I25" s="32">
        <f>ROUND(H25*G25,2)</f>
        <v/>
      </c>
    </row>
    <row r="26">
      <c r="A26" s="30" t="inlineStr">
        <is>
          <t>FA-2026-0007</t>
        </is>
      </c>
      <c r="B26" s="30" t="inlineStr">
        <is>
          <t>HO-T3</t>
        </is>
      </c>
      <c r="C26" s="30">
        <f>IFERROR(INDEX(Produits!$B:$B,MATCH(B26,Produits!$A:$A,0)),"Réf inconnue")</f>
        <v/>
      </c>
      <c r="D26" s="30" t="n">
        <v>7</v>
      </c>
      <c r="E26" s="32">
        <f>IFERROR(INDEX(Produits!$D:$D,MATCH(B26,Produits!$A:$A,0)),0)</f>
        <v/>
      </c>
      <c r="F26" s="34" t="n">
        <v>0</v>
      </c>
      <c r="G26" s="35">
        <f>IFERROR(INDEX(Produits!$E:$E,MATCH(B26,Produits!$A:$A,0)),0)</f>
        <v/>
      </c>
      <c r="H26" s="32">
        <f>ROUND(D26*E26*(1-F26),2)</f>
        <v/>
      </c>
      <c r="I26" s="32">
        <f>ROUND(H26*G26,2)</f>
        <v/>
      </c>
    </row>
    <row r="27">
      <c r="A27" s="30" t="inlineStr">
        <is>
          <t>FA-2026-0008</t>
        </is>
      </c>
      <c r="B27" s="30" t="inlineStr">
        <is>
          <t>CF-P</t>
        </is>
      </c>
      <c r="C27" s="30">
        <f>IFERROR(INDEX(Produits!$B:$B,MATCH(B27,Produits!$A:$A,0)),"Réf inconnue")</f>
        <v/>
      </c>
      <c r="D27" s="30" t="n">
        <v>2</v>
      </c>
      <c r="E27" s="32">
        <f>IFERROR(INDEX(Produits!$D:$D,MATCH(B27,Produits!$A:$A,0)),0)</f>
        <v/>
      </c>
      <c r="F27" s="34" t="n">
        <v>0</v>
      </c>
      <c r="G27" s="35">
        <f>IFERROR(INDEX(Produits!$E:$E,MATCH(B27,Produits!$A:$A,0)),0)</f>
        <v/>
      </c>
      <c r="H27" s="32">
        <f>ROUND(D27*E27*(1-F27),2)</f>
        <v/>
      </c>
      <c r="I27" s="32">
        <f>ROUND(H27*G27,2)</f>
        <v/>
      </c>
    </row>
    <row r="28">
      <c r="A28" s="30" t="inlineStr">
        <is>
          <t>FA-2026-0008</t>
        </is>
      </c>
      <c r="B28" s="30" t="inlineStr">
        <is>
          <t>HO-5</t>
        </is>
      </c>
      <c r="C28" s="30">
        <f>IFERROR(INDEX(Produits!$B:$B,MATCH(B28,Produits!$A:$A,0)),"Réf inconnue")</f>
        <v/>
      </c>
      <c r="D28" s="30" t="n">
        <v>10</v>
      </c>
      <c r="E28" s="32">
        <f>IFERROR(INDEX(Produits!$D:$D,MATCH(B28,Produits!$A:$A,0)),0)</f>
        <v/>
      </c>
      <c r="F28" s="34" t="n">
        <v>0</v>
      </c>
      <c r="G28" s="35">
        <f>IFERROR(INDEX(Produits!$E:$E,MATCH(B28,Produits!$A:$A,0)),0)</f>
        <v/>
      </c>
      <c r="H28" s="32">
        <f>ROUND(D28*E28*(1-F28),2)</f>
        <v/>
      </c>
      <c r="I28" s="32">
        <f>ROUND(H28*G28,2)</f>
        <v/>
      </c>
    </row>
    <row r="29">
      <c r="A29" s="30" t="inlineStr">
        <is>
          <t>FA-2026-0009</t>
        </is>
      </c>
      <c r="B29" s="30" t="inlineStr">
        <is>
          <t>HO-5</t>
        </is>
      </c>
      <c r="C29" s="30">
        <f>IFERROR(INDEX(Produits!$B:$B,MATCH(B29,Produits!$A:$A,0)),"Réf inconnue")</f>
        <v/>
      </c>
      <c r="D29" s="30" t="n">
        <v>7</v>
      </c>
      <c r="E29" s="32">
        <f>IFERROR(INDEX(Produits!$D:$D,MATCH(B29,Produits!$A:$A,0)),0)</f>
        <v/>
      </c>
      <c r="F29" s="34" t="n">
        <v>0</v>
      </c>
      <c r="G29" s="35">
        <f>IFERROR(INDEX(Produits!$E:$E,MATCH(B29,Produits!$A:$A,0)),0)</f>
        <v/>
      </c>
      <c r="H29" s="32">
        <f>ROUND(D29*E29*(1-F29),2)</f>
        <v/>
      </c>
      <c r="I29" s="32">
        <f>ROUND(H29*G29,2)</f>
        <v/>
      </c>
    </row>
    <row r="30">
      <c r="A30" s="30" t="inlineStr">
        <is>
          <t>FA-2026-0009</t>
        </is>
      </c>
      <c r="B30" s="30" t="inlineStr">
        <is>
          <t>HO-1</t>
        </is>
      </c>
      <c r="C30" s="30">
        <f>IFERROR(INDEX(Produits!$B:$B,MATCH(B30,Produits!$A:$A,0)),"Réf inconnue")</f>
        <v/>
      </c>
      <c r="D30" s="30" t="n">
        <v>22</v>
      </c>
      <c r="E30" s="32">
        <f>IFERROR(INDEX(Produits!$D:$D,MATCH(B30,Produits!$A:$A,0)),0)</f>
        <v/>
      </c>
      <c r="F30" s="34" t="n">
        <v>0</v>
      </c>
      <c r="G30" s="35">
        <f>IFERROR(INDEX(Produits!$E:$E,MATCH(B30,Produits!$A:$A,0)),0)</f>
        <v/>
      </c>
      <c r="H30" s="32">
        <f>ROUND(D30*E30*(1-F30),2)</f>
        <v/>
      </c>
      <c r="I30" s="32">
        <f>ROUND(H30*G30,2)</f>
        <v/>
      </c>
    </row>
    <row r="31">
      <c r="A31" s="30" t="inlineStr">
        <is>
          <t>FA-2026-0009</t>
        </is>
      </c>
      <c r="B31" s="30" t="inlineStr">
        <is>
          <t>OL-V</t>
        </is>
      </c>
      <c r="C31" s="30">
        <f>IFERROR(INDEX(Produits!$B:$B,MATCH(B31,Produits!$A:$A,0)),"Réf inconnue")</f>
        <v/>
      </c>
      <c r="D31" s="30" t="n">
        <v>29</v>
      </c>
      <c r="E31" s="32">
        <f>IFERROR(INDEX(Produits!$D:$D,MATCH(B31,Produits!$A:$A,0)),0)</f>
        <v/>
      </c>
      <c r="F31" s="34" t="n">
        <v>0</v>
      </c>
      <c r="G31" s="35">
        <f>IFERROR(INDEX(Produits!$E:$E,MATCH(B31,Produits!$A:$A,0)),0)</f>
        <v/>
      </c>
      <c r="H31" s="32">
        <f>ROUND(D31*E31*(1-F31),2)</f>
        <v/>
      </c>
      <c r="I31" s="32">
        <f>ROUND(H31*G31,2)</f>
        <v/>
      </c>
    </row>
    <row r="32">
      <c r="A32" s="30" t="inlineStr">
        <is>
          <t>FA-2026-0009</t>
        </is>
      </c>
      <c r="B32" s="30" t="inlineStr">
        <is>
          <t>CF-D</t>
        </is>
      </c>
      <c r="C32" s="30">
        <f>IFERROR(INDEX(Produits!$B:$B,MATCH(B32,Produits!$A:$A,0)),"Réf inconnue")</f>
        <v/>
      </c>
      <c r="D32" s="30" t="n">
        <v>1</v>
      </c>
      <c r="E32" s="32">
        <f>IFERROR(INDEX(Produits!$D:$D,MATCH(B32,Produits!$A:$A,0)),0)</f>
        <v/>
      </c>
      <c r="F32" s="34" t="n">
        <v>0</v>
      </c>
      <c r="G32" s="35">
        <f>IFERROR(INDEX(Produits!$E:$E,MATCH(B32,Produits!$A:$A,0)),0)</f>
        <v/>
      </c>
      <c r="H32" s="32">
        <f>ROUND(D32*E32*(1-F32),2)</f>
        <v/>
      </c>
      <c r="I32" s="32">
        <f>ROUND(H32*G32,2)</f>
        <v/>
      </c>
    </row>
    <row r="33">
      <c r="A33" s="30" t="inlineStr">
        <is>
          <t>FA-2026-0009</t>
        </is>
      </c>
      <c r="B33" s="30" t="inlineStr">
        <is>
          <t>HO-05</t>
        </is>
      </c>
      <c r="C33" s="30">
        <f>IFERROR(INDEX(Produits!$B:$B,MATCH(B33,Produits!$A:$A,0)),"Réf inconnue")</f>
        <v/>
      </c>
      <c r="D33" s="30" t="n">
        <v>30</v>
      </c>
      <c r="E33" s="32">
        <f>IFERROR(INDEX(Produits!$D:$D,MATCH(B33,Produits!$A:$A,0)),0)</f>
        <v/>
      </c>
      <c r="F33" s="34" t="n">
        <v>0</v>
      </c>
      <c r="G33" s="35">
        <f>IFERROR(INDEX(Produits!$E:$E,MATCH(B33,Produits!$A:$A,0)),0)</f>
        <v/>
      </c>
      <c r="H33" s="32">
        <f>ROUND(D33*E33*(1-F33),2)</f>
        <v/>
      </c>
      <c r="I33" s="32">
        <f>ROUND(H33*G33,2)</f>
        <v/>
      </c>
    </row>
    <row r="34">
      <c r="A34" s="30" t="inlineStr">
        <is>
          <t>FA-2026-0010</t>
        </is>
      </c>
      <c r="B34" s="30" t="inlineStr">
        <is>
          <t>CF-D</t>
        </is>
      </c>
      <c r="C34" s="30">
        <f>IFERROR(INDEX(Produits!$B:$B,MATCH(B34,Produits!$A:$A,0)),"Réf inconnue")</f>
        <v/>
      </c>
      <c r="D34" s="30" t="n">
        <v>1</v>
      </c>
      <c r="E34" s="32">
        <f>IFERROR(INDEX(Produits!$D:$D,MATCH(B34,Produits!$A:$A,0)),0)</f>
        <v/>
      </c>
      <c r="F34" s="34" t="n">
        <v>0</v>
      </c>
      <c r="G34" s="35">
        <f>IFERROR(INDEX(Produits!$E:$E,MATCH(B34,Produits!$A:$A,0)),0)</f>
        <v/>
      </c>
      <c r="H34" s="32">
        <f>ROUND(D34*E34*(1-F34),2)</f>
        <v/>
      </c>
      <c r="I34" s="32">
        <f>ROUND(H34*G34,2)</f>
        <v/>
      </c>
    </row>
    <row r="35">
      <c r="A35" s="30" t="inlineStr">
        <is>
          <t>FA-2026-0010</t>
        </is>
      </c>
      <c r="B35" s="30" t="inlineStr">
        <is>
          <t>TP-O</t>
        </is>
      </c>
      <c r="C35" s="30">
        <f>IFERROR(INDEX(Produits!$B:$B,MATCH(B35,Produits!$A:$A,0)),"Réf inconnue")</f>
        <v/>
      </c>
      <c r="D35" s="30" t="n">
        <v>12</v>
      </c>
      <c r="E35" s="32">
        <f>IFERROR(INDEX(Produits!$D:$D,MATCH(B35,Produits!$A:$A,0)),0)</f>
        <v/>
      </c>
      <c r="F35" s="34" t="n">
        <v>0</v>
      </c>
      <c r="G35" s="35">
        <f>IFERROR(INDEX(Produits!$E:$E,MATCH(B35,Produits!$A:$A,0)),0)</f>
        <v/>
      </c>
      <c r="H35" s="32">
        <f>ROUND(D35*E35*(1-F35),2)</f>
        <v/>
      </c>
      <c r="I35" s="32">
        <f>ROUND(H35*G35,2)</f>
        <v/>
      </c>
    </row>
    <row r="36">
      <c r="A36" s="30" t="inlineStr">
        <is>
          <t>FA-2026-0010</t>
        </is>
      </c>
      <c r="B36" s="30" t="inlineStr">
        <is>
          <t>HO-05</t>
        </is>
      </c>
      <c r="C36" s="30">
        <f>IFERROR(INDEX(Produits!$B:$B,MATCH(B36,Produits!$A:$A,0)),"Réf inconnue")</f>
        <v/>
      </c>
      <c r="D36" s="30" t="n">
        <v>4</v>
      </c>
      <c r="E36" s="32">
        <f>IFERROR(INDEX(Produits!$D:$D,MATCH(B36,Produits!$A:$A,0)),0)</f>
        <v/>
      </c>
      <c r="F36" s="34" t="n">
        <v>0</v>
      </c>
      <c r="G36" s="35">
        <f>IFERROR(INDEX(Produits!$E:$E,MATCH(B36,Produits!$A:$A,0)),0)</f>
        <v/>
      </c>
      <c r="H36" s="32">
        <f>ROUND(D36*E36*(1-F36),2)</f>
        <v/>
      </c>
      <c r="I36" s="32">
        <f>ROUND(H36*G36,2)</f>
        <v/>
      </c>
    </row>
    <row r="37">
      <c r="A37" s="30" t="inlineStr">
        <is>
          <t>FA-2026-0010</t>
        </is>
      </c>
      <c r="B37" s="30" t="inlineStr">
        <is>
          <t>SV-O</t>
        </is>
      </c>
      <c r="C37" s="30">
        <f>IFERROR(INDEX(Produits!$B:$B,MATCH(B37,Produits!$A:$A,0)),"Réf inconnue")</f>
        <v/>
      </c>
      <c r="D37" s="30" t="n">
        <v>7</v>
      </c>
      <c r="E37" s="32">
        <f>IFERROR(INDEX(Produits!$D:$D,MATCH(B37,Produits!$A:$A,0)),0)</f>
        <v/>
      </c>
      <c r="F37" s="34" t="n">
        <v>0</v>
      </c>
      <c r="G37" s="35">
        <f>IFERROR(INDEX(Produits!$E:$E,MATCH(B37,Produits!$A:$A,0)),0)</f>
        <v/>
      </c>
      <c r="H37" s="32">
        <f>ROUND(D37*E37*(1-F37),2)</f>
        <v/>
      </c>
      <c r="I37" s="32">
        <f>ROUND(H37*G37,2)</f>
        <v/>
      </c>
    </row>
    <row r="38">
      <c r="A38" s="30" t="inlineStr">
        <is>
          <t>FA-2026-0011</t>
        </is>
      </c>
      <c r="B38" s="30" t="inlineStr">
        <is>
          <t>TP-O</t>
        </is>
      </c>
      <c r="C38" s="30">
        <f>IFERROR(INDEX(Produits!$B:$B,MATCH(B38,Produits!$A:$A,0)),"Réf inconnue")</f>
        <v/>
      </c>
      <c r="D38" s="30" t="n">
        <v>12</v>
      </c>
      <c r="E38" s="32">
        <f>IFERROR(INDEX(Produits!$D:$D,MATCH(B38,Produits!$A:$A,0)),0)</f>
        <v/>
      </c>
      <c r="F38" s="34" t="n">
        <v>0</v>
      </c>
      <c r="G38" s="35">
        <f>IFERROR(INDEX(Produits!$E:$E,MATCH(B38,Produits!$A:$A,0)),0)</f>
        <v/>
      </c>
      <c r="H38" s="32">
        <f>ROUND(D38*E38*(1-F38),2)</f>
        <v/>
      </c>
      <c r="I38" s="32">
        <f>ROUND(H38*G38,2)</f>
        <v/>
      </c>
    </row>
    <row r="39">
      <c r="A39" s="30" t="inlineStr">
        <is>
          <t>FA-2026-0011</t>
        </is>
      </c>
      <c r="B39" s="30" t="inlineStr">
        <is>
          <t>OL-N</t>
        </is>
      </c>
      <c r="C39" s="30">
        <f>IFERROR(INDEX(Produits!$B:$B,MATCH(B39,Produits!$A:$A,0)),"Réf inconnue")</f>
        <v/>
      </c>
      <c r="D39" s="30" t="n">
        <v>54</v>
      </c>
      <c r="E39" s="32">
        <f>IFERROR(INDEX(Produits!$D:$D,MATCH(B39,Produits!$A:$A,0)),0)</f>
        <v/>
      </c>
      <c r="F39" s="34" t="n">
        <v>0</v>
      </c>
      <c r="G39" s="35">
        <f>IFERROR(INDEX(Produits!$E:$E,MATCH(B39,Produits!$A:$A,0)),0)</f>
        <v/>
      </c>
      <c r="H39" s="32">
        <f>ROUND(D39*E39*(1-F39),2)</f>
        <v/>
      </c>
      <c r="I39" s="32">
        <f>ROUND(H39*G39,2)</f>
        <v/>
      </c>
    </row>
    <row r="40">
      <c r="A40" s="30" t="inlineStr">
        <is>
          <t>FA-2026-0011</t>
        </is>
      </c>
      <c r="B40" s="30" t="inlineStr">
        <is>
          <t>HO-1</t>
        </is>
      </c>
      <c r="C40" s="30">
        <f>IFERROR(INDEX(Produits!$B:$B,MATCH(B40,Produits!$A:$A,0)),"Réf inconnue")</f>
        <v/>
      </c>
      <c r="D40" s="30" t="n">
        <v>9</v>
      </c>
      <c r="E40" s="32">
        <f>IFERROR(INDEX(Produits!$D:$D,MATCH(B40,Produits!$A:$A,0)),0)</f>
        <v/>
      </c>
      <c r="F40" s="34" t="n">
        <v>0</v>
      </c>
      <c r="G40" s="35">
        <f>IFERROR(INDEX(Produits!$E:$E,MATCH(B40,Produits!$A:$A,0)),0)</f>
        <v/>
      </c>
      <c r="H40" s="32">
        <f>ROUND(D40*E40*(1-F40),2)</f>
        <v/>
      </c>
      <c r="I40" s="32">
        <f>ROUND(H40*G40,2)</f>
        <v/>
      </c>
    </row>
    <row r="41">
      <c r="A41" s="30" t="inlineStr">
        <is>
          <t>FA-2026-0011</t>
        </is>
      </c>
      <c r="B41" s="30" t="inlineStr">
        <is>
          <t>OL-V</t>
        </is>
      </c>
      <c r="C41" s="30">
        <f>IFERROR(INDEX(Produits!$B:$B,MATCH(B41,Produits!$A:$A,0)),"Réf inconnue")</f>
        <v/>
      </c>
      <c r="D41" s="30" t="n">
        <v>28</v>
      </c>
      <c r="E41" s="32">
        <f>IFERROR(INDEX(Produits!$D:$D,MATCH(B41,Produits!$A:$A,0)),0)</f>
        <v/>
      </c>
      <c r="F41" s="34" t="n">
        <v>0</v>
      </c>
      <c r="G41" s="35">
        <f>IFERROR(INDEX(Produits!$E:$E,MATCH(B41,Produits!$A:$A,0)),0)</f>
        <v/>
      </c>
      <c r="H41" s="32">
        <f>ROUND(D41*E41*(1-F41),2)</f>
        <v/>
      </c>
      <c r="I41" s="32">
        <f>ROUND(H41*G41,2)</f>
        <v/>
      </c>
    </row>
    <row r="42">
      <c r="A42" s="30" t="inlineStr">
        <is>
          <t>FA-2026-0011</t>
        </is>
      </c>
      <c r="B42" s="30" t="inlineStr">
        <is>
          <t>CF-D</t>
        </is>
      </c>
      <c r="C42" s="30">
        <f>IFERROR(INDEX(Produits!$B:$B,MATCH(B42,Produits!$A:$A,0)),"Réf inconnue")</f>
        <v/>
      </c>
      <c r="D42" s="30" t="n">
        <v>4</v>
      </c>
      <c r="E42" s="32">
        <f>IFERROR(INDEX(Produits!$D:$D,MATCH(B42,Produits!$A:$A,0)),0)</f>
        <v/>
      </c>
      <c r="F42" s="34" t="n">
        <v>0</v>
      </c>
      <c r="G42" s="35">
        <f>IFERROR(INDEX(Produits!$E:$E,MATCH(B42,Produits!$A:$A,0)),0)</f>
        <v/>
      </c>
      <c r="H42" s="32">
        <f>ROUND(D42*E42*(1-F42),2)</f>
        <v/>
      </c>
      <c r="I42" s="32">
        <f>ROUND(H42*G42,2)</f>
        <v/>
      </c>
    </row>
    <row r="43">
      <c r="A43" s="30" t="inlineStr">
        <is>
          <t>FA-2026-0012</t>
        </is>
      </c>
      <c r="B43" s="30" t="inlineStr">
        <is>
          <t>CF-D</t>
        </is>
      </c>
      <c r="C43" s="30">
        <f>IFERROR(INDEX(Produits!$B:$B,MATCH(B43,Produits!$A:$A,0)),"Réf inconnue")</f>
        <v/>
      </c>
      <c r="D43" s="30" t="n">
        <v>3</v>
      </c>
      <c r="E43" s="32">
        <f>IFERROR(INDEX(Produits!$D:$D,MATCH(B43,Produits!$A:$A,0)),0)</f>
        <v/>
      </c>
      <c r="F43" s="34" t="n">
        <v>0</v>
      </c>
      <c r="G43" s="35">
        <f>IFERROR(INDEX(Produits!$E:$E,MATCH(B43,Produits!$A:$A,0)),0)</f>
        <v/>
      </c>
      <c r="H43" s="32">
        <f>ROUND(D43*E43*(1-F43),2)</f>
        <v/>
      </c>
      <c r="I43" s="32">
        <f>ROUND(H43*G43,2)</f>
        <v/>
      </c>
    </row>
    <row r="44">
      <c r="A44" s="30" t="inlineStr">
        <is>
          <t>FA-2026-0012</t>
        </is>
      </c>
      <c r="B44" s="30" t="inlineStr">
        <is>
          <t>HO-1</t>
        </is>
      </c>
      <c r="C44" s="30">
        <f>IFERROR(INDEX(Produits!$B:$B,MATCH(B44,Produits!$A:$A,0)),"Réf inconnue")</f>
        <v/>
      </c>
      <c r="D44" s="30" t="n">
        <v>24</v>
      </c>
      <c r="E44" s="32">
        <f>IFERROR(INDEX(Produits!$D:$D,MATCH(B44,Produits!$A:$A,0)),0)</f>
        <v/>
      </c>
      <c r="F44" s="34" t="n">
        <v>0</v>
      </c>
      <c r="G44" s="35">
        <f>IFERROR(INDEX(Produits!$E:$E,MATCH(B44,Produits!$A:$A,0)),0)</f>
        <v/>
      </c>
      <c r="H44" s="32">
        <f>ROUND(D44*E44*(1-F44),2)</f>
        <v/>
      </c>
      <c r="I44" s="32">
        <f>ROUND(H44*G44,2)</f>
        <v/>
      </c>
    </row>
    <row r="45">
      <c r="A45" s="30" t="inlineStr">
        <is>
          <t>FA-2026-0013</t>
        </is>
      </c>
      <c r="B45" s="30" t="inlineStr">
        <is>
          <t>HO-5</t>
        </is>
      </c>
      <c r="C45" s="30">
        <f>IFERROR(INDEX(Produits!$B:$B,MATCH(B45,Produits!$A:$A,0)),"Réf inconnue")</f>
        <v/>
      </c>
      <c r="D45" s="30" t="n">
        <v>3</v>
      </c>
      <c r="E45" s="32">
        <f>IFERROR(INDEX(Produits!$D:$D,MATCH(B45,Produits!$A:$A,0)),0)</f>
        <v/>
      </c>
      <c r="F45" s="34" t="n">
        <v>0</v>
      </c>
      <c r="G45" s="35">
        <f>IFERROR(INDEX(Produits!$E:$E,MATCH(B45,Produits!$A:$A,0)),0)</f>
        <v/>
      </c>
      <c r="H45" s="32">
        <f>ROUND(D45*E45*(1-F45),2)</f>
        <v/>
      </c>
      <c r="I45" s="32">
        <f>ROUND(H45*G45,2)</f>
        <v/>
      </c>
    </row>
    <row r="46">
      <c r="A46" s="30" t="inlineStr">
        <is>
          <t>FA-2026-0013</t>
        </is>
      </c>
      <c r="B46" s="30" t="inlineStr">
        <is>
          <t>CF-D</t>
        </is>
      </c>
      <c r="C46" s="30">
        <f>IFERROR(INDEX(Produits!$B:$B,MATCH(B46,Produits!$A:$A,0)),"Réf inconnue")</f>
        <v/>
      </c>
      <c r="D46" s="30" t="n">
        <v>1</v>
      </c>
      <c r="E46" s="32">
        <f>IFERROR(INDEX(Produits!$D:$D,MATCH(B46,Produits!$A:$A,0)),0)</f>
        <v/>
      </c>
      <c r="F46" s="34" t="n">
        <v>0</v>
      </c>
      <c r="G46" s="35">
        <f>IFERROR(INDEX(Produits!$E:$E,MATCH(B46,Produits!$A:$A,0)),0)</f>
        <v/>
      </c>
      <c r="H46" s="32">
        <f>ROUND(D46*E46*(1-F46),2)</f>
        <v/>
      </c>
      <c r="I46" s="32">
        <f>ROUND(H46*G46,2)</f>
        <v/>
      </c>
    </row>
    <row r="47">
      <c r="A47" s="30" t="inlineStr">
        <is>
          <t>FA-2026-0013</t>
        </is>
      </c>
      <c r="B47" s="30" t="inlineStr">
        <is>
          <t>HO-05</t>
        </is>
      </c>
      <c r="C47" s="30">
        <f>IFERROR(INDEX(Produits!$B:$B,MATCH(B47,Produits!$A:$A,0)),"Réf inconnue")</f>
        <v/>
      </c>
      <c r="D47" s="30" t="n">
        <v>9</v>
      </c>
      <c r="E47" s="32">
        <f>IFERROR(INDEX(Produits!$D:$D,MATCH(B47,Produits!$A:$A,0)),0)</f>
        <v/>
      </c>
      <c r="F47" s="34" t="n">
        <v>0</v>
      </c>
      <c r="G47" s="35">
        <f>IFERROR(INDEX(Produits!$E:$E,MATCH(B47,Produits!$A:$A,0)),0)</f>
        <v/>
      </c>
      <c r="H47" s="32">
        <f>ROUND(D47*E47*(1-F47),2)</f>
        <v/>
      </c>
      <c r="I47" s="32">
        <f>ROUND(H47*G47,2)</f>
        <v/>
      </c>
    </row>
    <row r="48">
      <c r="A48" s="30" t="inlineStr">
        <is>
          <t>FA-2026-0014</t>
        </is>
      </c>
      <c r="B48" s="30" t="inlineStr">
        <is>
          <t>HO-05</t>
        </is>
      </c>
      <c r="C48" s="30">
        <f>IFERROR(INDEX(Produits!$B:$B,MATCH(B48,Produits!$A:$A,0)),"Réf inconnue")</f>
        <v/>
      </c>
      <c r="D48" s="30" t="n">
        <v>20</v>
      </c>
      <c r="E48" s="32">
        <f>IFERROR(INDEX(Produits!$D:$D,MATCH(B48,Produits!$A:$A,0)),0)</f>
        <v/>
      </c>
      <c r="F48" s="34" t="n">
        <v>0</v>
      </c>
      <c r="G48" s="35">
        <f>IFERROR(INDEX(Produits!$E:$E,MATCH(B48,Produits!$A:$A,0)),0)</f>
        <v/>
      </c>
      <c r="H48" s="32">
        <f>ROUND(D48*E48*(1-F48),2)</f>
        <v/>
      </c>
      <c r="I48" s="32">
        <f>ROUND(H48*G48,2)</f>
        <v/>
      </c>
    </row>
    <row r="49">
      <c r="A49" s="30" t="inlineStr">
        <is>
          <t>FA-2026-0014</t>
        </is>
      </c>
      <c r="B49" s="30" t="inlineStr">
        <is>
          <t>CF-D</t>
        </is>
      </c>
      <c r="C49" s="30">
        <f>IFERROR(INDEX(Produits!$B:$B,MATCH(B49,Produits!$A:$A,0)),"Réf inconnue")</f>
        <v/>
      </c>
      <c r="D49" s="30" t="n">
        <v>4</v>
      </c>
      <c r="E49" s="32">
        <f>IFERROR(INDEX(Produits!$D:$D,MATCH(B49,Produits!$A:$A,0)),0)</f>
        <v/>
      </c>
      <c r="F49" s="34" t="n">
        <v>0</v>
      </c>
      <c r="G49" s="35">
        <f>IFERROR(INDEX(Produits!$E:$E,MATCH(B49,Produits!$A:$A,0)),0)</f>
        <v/>
      </c>
      <c r="H49" s="32">
        <f>ROUND(D49*E49*(1-F49),2)</f>
        <v/>
      </c>
      <c r="I49" s="32">
        <f>ROUND(H49*G49,2)</f>
        <v/>
      </c>
    </row>
    <row r="50">
      <c r="A50" s="30" t="inlineStr">
        <is>
          <t>FA-2026-0014</t>
        </is>
      </c>
      <c r="B50" s="30" t="inlineStr">
        <is>
          <t>CF-P</t>
        </is>
      </c>
      <c r="C50" s="30">
        <f>IFERROR(INDEX(Produits!$B:$B,MATCH(B50,Produits!$A:$A,0)),"Réf inconnue")</f>
        <v/>
      </c>
      <c r="D50" s="30" t="n">
        <v>6</v>
      </c>
      <c r="E50" s="32">
        <f>IFERROR(INDEX(Produits!$D:$D,MATCH(B50,Produits!$A:$A,0)),0)</f>
        <v/>
      </c>
      <c r="F50" s="34" t="n">
        <v>0.05</v>
      </c>
      <c r="G50" s="35">
        <f>IFERROR(INDEX(Produits!$E:$E,MATCH(B50,Produits!$A:$A,0)),0)</f>
        <v/>
      </c>
      <c r="H50" s="32">
        <f>ROUND(D50*E50*(1-F50),2)</f>
        <v/>
      </c>
      <c r="I50" s="32">
        <f>ROUND(H50*G50,2)</f>
        <v/>
      </c>
    </row>
    <row r="51">
      <c r="A51" s="30" t="inlineStr">
        <is>
          <t>FA-2026-0015</t>
        </is>
      </c>
      <c r="B51" s="30" t="inlineStr">
        <is>
          <t>OL-V</t>
        </is>
      </c>
      <c r="C51" s="30">
        <f>IFERROR(INDEX(Produits!$B:$B,MATCH(B51,Produits!$A:$A,0)),"Réf inconnue")</f>
        <v/>
      </c>
      <c r="D51" s="30" t="n">
        <v>7</v>
      </c>
      <c r="E51" s="32">
        <f>IFERROR(INDEX(Produits!$D:$D,MATCH(B51,Produits!$A:$A,0)),0)</f>
        <v/>
      </c>
      <c r="F51" s="34" t="n">
        <v>0</v>
      </c>
      <c r="G51" s="35">
        <f>IFERROR(INDEX(Produits!$E:$E,MATCH(B51,Produits!$A:$A,0)),0)</f>
        <v/>
      </c>
      <c r="H51" s="32">
        <f>ROUND(D51*E51*(1-F51),2)</f>
        <v/>
      </c>
      <c r="I51" s="32">
        <f>ROUND(H51*G51,2)</f>
        <v/>
      </c>
    </row>
    <row r="52">
      <c r="A52" s="30" t="inlineStr">
        <is>
          <t>FA-2026-0015</t>
        </is>
      </c>
      <c r="B52" s="30" t="inlineStr">
        <is>
          <t>SV-O</t>
        </is>
      </c>
      <c r="C52" s="30">
        <f>IFERROR(INDEX(Produits!$B:$B,MATCH(B52,Produits!$A:$A,0)),"Réf inconnue")</f>
        <v/>
      </c>
      <c r="D52" s="30" t="n">
        <v>10</v>
      </c>
      <c r="E52" s="32">
        <f>IFERROR(INDEX(Produits!$D:$D,MATCH(B52,Produits!$A:$A,0)),0)</f>
        <v/>
      </c>
      <c r="F52" s="34" t="n">
        <v>0</v>
      </c>
      <c r="G52" s="35">
        <f>IFERROR(INDEX(Produits!$E:$E,MATCH(B52,Produits!$A:$A,0)),0)</f>
        <v/>
      </c>
      <c r="H52" s="32">
        <f>ROUND(D52*E52*(1-F52),2)</f>
        <v/>
      </c>
      <c r="I52" s="32">
        <f>ROUND(H52*G52,2)</f>
        <v/>
      </c>
    </row>
    <row r="53">
      <c r="A53" s="30" t="inlineStr">
        <is>
          <t>FA-2026-0015</t>
        </is>
      </c>
      <c r="B53" s="30" t="inlineStr">
        <is>
          <t>HO-05</t>
        </is>
      </c>
      <c r="C53" s="30">
        <f>IFERROR(INDEX(Produits!$B:$B,MATCH(B53,Produits!$A:$A,0)),"Réf inconnue")</f>
        <v/>
      </c>
      <c r="D53" s="30" t="n">
        <v>20</v>
      </c>
      <c r="E53" s="32">
        <f>IFERROR(INDEX(Produits!$D:$D,MATCH(B53,Produits!$A:$A,0)),0)</f>
        <v/>
      </c>
      <c r="F53" s="34" t="n">
        <v>0</v>
      </c>
      <c r="G53" s="35">
        <f>IFERROR(INDEX(Produits!$E:$E,MATCH(B53,Produits!$A:$A,0)),0)</f>
        <v/>
      </c>
      <c r="H53" s="32">
        <f>ROUND(D53*E53*(1-F53),2)</f>
        <v/>
      </c>
      <c r="I53" s="32">
        <f>ROUND(H53*G53,2)</f>
        <v/>
      </c>
    </row>
    <row r="54">
      <c r="A54" s="30" t="inlineStr">
        <is>
          <t>FA-2026-0015</t>
        </is>
      </c>
      <c r="B54" s="30" t="inlineStr">
        <is>
          <t>TP-O</t>
        </is>
      </c>
      <c r="C54" s="30">
        <f>IFERROR(INDEX(Produits!$B:$B,MATCH(B54,Produits!$A:$A,0)),"Réf inconnue")</f>
        <v/>
      </c>
      <c r="D54" s="30" t="n">
        <v>18</v>
      </c>
      <c r="E54" s="32">
        <f>IFERROR(INDEX(Produits!$D:$D,MATCH(B54,Produits!$A:$A,0)),0)</f>
        <v/>
      </c>
      <c r="F54" s="34" t="n">
        <v>0</v>
      </c>
      <c r="G54" s="35">
        <f>IFERROR(INDEX(Produits!$E:$E,MATCH(B54,Produits!$A:$A,0)),0)</f>
        <v/>
      </c>
      <c r="H54" s="32">
        <f>ROUND(D54*E54*(1-F54),2)</f>
        <v/>
      </c>
      <c r="I54" s="32">
        <f>ROUND(H54*G54,2)</f>
        <v/>
      </c>
    </row>
    <row r="55">
      <c r="A55" s="30" t="inlineStr">
        <is>
          <t>FA-2026-0016</t>
        </is>
      </c>
      <c r="B55" s="30" t="inlineStr">
        <is>
          <t>HO-T3</t>
        </is>
      </c>
      <c r="C55" s="30">
        <f>IFERROR(INDEX(Produits!$B:$B,MATCH(B55,Produits!$A:$A,0)),"Réf inconnue")</f>
        <v/>
      </c>
      <c r="D55" s="30" t="n">
        <v>18</v>
      </c>
      <c r="E55" s="32">
        <f>IFERROR(INDEX(Produits!$D:$D,MATCH(B55,Produits!$A:$A,0)),0)</f>
        <v/>
      </c>
      <c r="F55" s="34" t="n">
        <v>0</v>
      </c>
      <c r="G55" s="35">
        <f>IFERROR(INDEX(Produits!$E:$E,MATCH(B55,Produits!$A:$A,0)),0)</f>
        <v/>
      </c>
      <c r="H55" s="32">
        <f>ROUND(D55*E55*(1-F55),2)</f>
        <v/>
      </c>
      <c r="I55" s="32">
        <f>ROUND(H55*G55,2)</f>
        <v/>
      </c>
    </row>
    <row r="56">
      <c r="A56" s="30" t="inlineStr">
        <is>
          <t>FA-2026-0016</t>
        </is>
      </c>
      <c r="B56" s="30" t="inlineStr">
        <is>
          <t>CF-P</t>
        </is>
      </c>
      <c r="C56" s="30">
        <f>IFERROR(INDEX(Produits!$B:$B,MATCH(B56,Produits!$A:$A,0)),"Réf inconnue")</f>
        <v/>
      </c>
      <c r="D56" s="30" t="n">
        <v>2</v>
      </c>
      <c r="E56" s="32">
        <f>IFERROR(INDEX(Produits!$D:$D,MATCH(B56,Produits!$A:$A,0)),0)</f>
        <v/>
      </c>
      <c r="F56" s="34" t="n">
        <v>0</v>
      </c>
      <c r="G56" s="35">
        <f>IFERROR(INDEX(Produits!$E:$E,MATCH(B56,Produits!$A:$A,0)),0)</f>
        <v/>
      </c>
      <c r="H56" s="32">
        <f>ROUND(D56*E56*(1-F56),2)</f>
        <v/>
      </c>
      <c r="I56" s="32">
        <f>ROUND(H56*G56,2)</f>
        <v/>
      </c>
    </row>
    <row r="57">
      <c r="A57" s="30" t="inlineStr">
        <is>
          <t>FA-2026-0016</t>
        </is>
      </c>
      <c r="B57" s="30" t="inlineStr">
        <is>
          <t>OL-V</t>
        </is>
      </c>
      <c r="C57" s="30">
        <f>IFERROR(INDEX(Produits!$B:$B,MATCH(B57,Produits!$A:$A,0)),"Réf inconnue")</f>
        <v/>
      </c>
      <c r="D57" s="30" t="n">
        <v>18</v>
      </c>
      <c r="E57" s="32">
        <f>IFERROR(INDEX(Produits!$D:$D,MATCH(B57,Produits!$A:$A,0)),0)</f>
        <v/>
      </c>
      <c r="F57" s="34" t="n">
        <v>0</v>
      </c>
      <c r="G57" s="35">
        <f>IFERROR(INDEX(Produits!$E:$E,MATCH(B57,Produits!$A:$A,0)),0)</f>
        <v/>
      </c>
      <c r="H57" s="32">
        <f>ROUND(D57*E57*(1-F57),2)</f>
        <v/>
      </c>
      <c r="I57" s="32">
        <f>ROUND(H57*G57,2)</f>
        <v/>
      </c>
    </row>
    <row r="58">
      <c r="A58" s="30" t="inlineStr">
        <is>
          <t>FA-2026-0016</t>
        </is>
      </c>
      <c r="B58" s="30" t="inlineStr">
        <is>
          <t>SV-O</t>
        </is>
      </c>
      <c r="C58" s="30">
        <f>IFERROR(INDEX(Produits!$B:$B,MATCH(B58,Produits!$A:$A,0)),"Réf inconnue")</f>
        <v/>
      </c>
      <c r="D58" s="30" t="n">
        <v>16</v>
      </c>
      <c r="E58" s="32">
        <f>IFERROR(INDEX(Produits!$D:$D,MATCH(B58,Produits!$A:$A,0)),0)</f>
        <v/>
      </c>
      <c r="F58" s="34" t="n">
        <v>0</v>
      </c>
      <c r="G58" s="35">
        <f>IFERROR(INDEX(Produits!$E:$E,MATCH(B58,Produits!$A:$A,0)),0)</f>
        <v/>
      </c>
      <c r="H58" s="32">
        <f>ROUND(D58*E58*(1-F58),2)</f>
        <v/>
      </c>
      <c r="I58" s="32">
        <f>ROUND(H58*G58,2)</f>
        <v/>
      </c>
    </row>
    <row r="59">
      <c r="A59" s="30" t="inlineStr">
        <is>
          <t>FA-2026-0017</t>
        </is>
      </c>
      <c r="B59" s="30" t="inlineStr">
        <is>
          <t>HO-05</t>
        </is>
      </c>
      <c r="C59" s="30">
        <f>IFERROR(INDEX(Produits!$B:$B,MATCH(B59,Produits!$A:$A,0)),"Réf inconnue")</f>
        <v/>
      </c>
      <c r="D59" s="30" t="n">
        <v>60</v>
      </c>
      <c r="E59" s="32">
        <f>IFERROR(INDEX(Produits!$D:$D,MATCH(B59,Produits!$A:$A,0)),0)</f>
        <v/>
      </c>
      <c r="F59" s="34" t="n">
        <v>0.05</v>
      </c>
      <c r="G59" s="35">
        <f>IFERROR(INDEX(Produits!$E:$E,MATCH(B59,Produits!$A:$A,0)),0)</f>
        <v/>
      </c>
      <c r="H59" s="32">
        <f>ROUND(D59*E59*(1-F59),2)</f>
        <v/>
      </c>
      <c r="I59" s="32">
        <f>ROUND(H59*G59,2)</f>
        <v/>
      </c>
    </row>
    <row r="60">
      <c r="A60" s="30" t="inlineStr">
        <is>
          <t>FA-2026-0017</t>
        </is>
      </c>
      <c r="B60" s="30" t="inlineStr">
        <is>
          <t>CF-P</t>
        </is>
      </c>
      <c r="C60" s="30">
        <f>IFERROR(INDEX(Produits!$B:$B,MATCH(B60,Produits!$A:$A,0)),"Réf inconnue")</f>
        <v/>
      </c>
      <c r="D60" s="30" t="n">
        <v>10</v>
      </c>
      <c r="E60" s="32">
        <f>IFERROR(INDEX(Produits!$D:$D,MATCH(B60,Produits!$A:$A,0)),0)</f>
        <v/>
      </c>
      <c r="F60" s="34" t="n">
        <v>0.05</v>
      </c>
      <c r="G60" s="35">
        <f>IFERROR(INDEX(Produits!$E:$E,MATCH(B60,Produits!$A:$A,0)),0)</f>
        <v/>
      </c>
      <c r="H60" s="32">
        <f>ROUND(D60*E60*(1-F60),2)</f>
        <v/>
      </c>
      <c r="I60" s="32">
        <f>ROUND(H60*G60,2)</f>
        <v/>
      </c>
    </row>
    <row r="61">
      <c r="A61" s="30" t="inlineStr">
        <is>
          <t>FA-2026-0018</t>
        </is>
      </c>
      <c r="B61" s="30" t="inlineStr">
        <is>
          <t>OL-N</t>
        </is>
      </c>
      <c r="C61" s="30">
        <f>IFERROR(INDEX(Produits!$B:$B,MATCH(B61,Produits!$A:$A,0)),"Réf inconnue")</f>
        <v/>
      </c>
      <c r="D61" s="30" t="n">
        <v>11</v>
      </c>
      <c r="E61" s="32">
        <f>IFERROR(INDEX(Produits!$D:$D,MATCH(B61,Produits!$A:$A,0)),0)</f>
        <v/>
      </c>
      <c r="F61" s="34" t="n">
        <v>0</v>
      </c>
      <c r="G61" s="35">
        <f>IFERROR(INDEX(Produits!$E:$E,MATCH(B61,Produits!$A:$A,0)),0)</f>
        <v/>
      </c>
      <c r="H61" s="32">
        <f>ROUND(D61*E61*(1-F61),2)</f>
        <v/>
      </c>
      <c r="I61" s="32">
        <f>ROUND(H61*G61,2)</f>
        <v/>
      </c>
    </row>
    <row r="62">
      <c r="A62" s="30" t="inlineStr">
        <is>
          <t>FA-2026-0018</t>
        </is>
      </c>
      <c r="B62" s="30" t="inlineStr">
        <is>
          <t>HO-1</t>
        </is>
      </c>
      <c r="C62" s="30">
        <f>IFERROR(INDEX(Produits!$B:$B,MATCH(B62,Produits!$A:$A,0)),"Réf inconnue")</f>
        <v/>
      </c>
      <c r="D62" s="30" t="n">
        <v>9</v>
      </c>
      <c r="E62" s="32">
        <f>IFERROR(INDEX(Produits!$D:$D,MATCH(B62,Produits!$A:$A,0)),0)</f>
        <v/>
      </c>
      <c r="F62" s="34" t="n">
        <v>0</v>
      </c>
      <c r="G62" s="35">
        <f>IFERROR(INDEX(Produits!$E:$E,MATCH(B62,Produits!$A:$A,0)),0)</f>
        <v/>
      </c>
      <c r="H62" s="32">
        <f>ROUND(D62*E62*(1-F62),2)</f>
        <v/>
      </c>
      <c r="I62" s="32">
        <f>ROUND(H62*G62,2)</f>
        <v/>
      </c>
    </row>
    <row r="63">
      <c r="A63" s="30" t="inlineStr">
        <is>
          <t>FA-2026-0019</t>
        </is>
      </c>
      <c r="B63" s="30" t="inlineStr">
        <is>
          <t>SV-O</t>
        </is>
      </c>
      <c r="C63" s="30">
        <f>IFERROR(INDEX(Produits!$B:$B,MATCH(B63,Produits!$A:$A,0)),"Réf inconnue")</f>
        <v/>
      </c>
      <c r="D63" s="30" t="n">
        <v>45</v>
      </c>
      <c r="E63" s="32">
        <f>IFERROR(INDEX(Produits!$D:$D,MATCH(B63,Produits!$A:$A,0)),0)</f>
        <v/>
      </c>
      <c r="F63" s="34" t="n">
        <v>0.03</v>
      </c>
      <c r="G63" s="35">
        <f>IFERROR(INDEX(Produits!$E:$E,MATCH(B63,Produits!$A:$A,0)),0)</f>
        <v/>
      </c>
      <c r="H63" s="32">
        <f>ROUND(D63*E63*(1-F63),2)</f>
        <v/>
      </c>
      <c r="I63" s="32">
        <f>ROUND(H63*G63,2)</f>
        <v/>
      </c>
    </row>
    <row r="64">
      <c r="A64" s="30" t="inlineStr">
        <is>
          <t>FA-2026-0019</t>
        </is>
      </c>
      <c r="B64" s="30" t="inlineStr">
        <is>
          <t>HO-1</t>
        </is>
      </c>
      <c r="C64" s="30">
        <f>IFERROR(INDEX(Produits!$B:$B,MATCH(B64,Produits!$A:$A,0)),"Réf inconnue")</f>
        <v/>
      </c>
      <c r="D64" s="30" t="n">
        <v>35</v>
      </c>
      <c r="E64" s="32">
        <f>IFERROR(INDEX(Produits!$D:$D,MATCH(B64,Produits!$A:$A,0)),0)</f>
        <v/>
      </c>
      <c r="F64" s="34" t="n">
        <v>0</v>
      </c>
      <c r="G64" s="35">
        <f>IFERROR(INDEX(Produits!$E:$E,MATCH(B64,Produits!$A:$A,0)),0)</f>
        <v/>
      </c>
      <c r="H64" s="32">
        <f>ROUND(D64*E64*(1-F64),2)</f>
        <v/>
      </c>
      <c r="I64" s="32">
        <f>ROUND(H64*G64,2)</f>
        <v/>
      </c>
    </row>
    <row r="65">
      <c r="A65" s="30" t="inlineStr">
        <is>
          <t>FA-2026-0020</t>
        </is>
      </c>
      <c r="B65" s="30" t="inlineStr">
        <is>
          <t>HO-5</t>
        </is>
      </c>
      <c r="C65" s="30">
        <f>IFERROR(INDEX(Produits!$B:$B,MATCH(B65,Produits!$A:$A,0)),"Réf inconnue")</f>
        <v/>
      </c>
      <c r="D65" s="30" t="n">
        <v>22</v>
      </c>
      <c r="E65" s="32">
        <f>IFERROR(INDEX(Produits!$D:$D,MATCH(B65,Produits!$A:$A,0)),0)</f>
        <v/>
      </c>
      <c r="F65" s="34" t="n">
        <v>0</v>
      </c>
      <c r="G65" s="35">
        <f>IFERROR(INDEX(Produits!$E:$E,MATCH(B65,Produits!$A:$A,0)),0)</f>
        <v/>
      </c>
      <c r="H65" s="32">
        <f>ROUND(D65*E65*(1-F65),2)</f>
        <v/>
      </c>
      <c r="I65" s="32">
        <f>ROUND(H65*G65,2)</f>
        <v/>
      </c>
    </row>
    <row r="66">
      <c r="A66" s="30" t="inlineStr">
        <is>
          <t>FA-2026-0020</t>
        </is>
      </c>
      <c r="B66" s="30" t="inlineStr">
        <is>
          <t>SV-O</t>
        </is>
      </c>
      <c r="C66" s="30">
        <f>IFERROR(INDEX(Produits!$B:$B,MATCH(B66,Produits!$A:$A,0)),"Réf inconnue")</f>
        <v/>
      </c>
      <c r="D66" s="30" t="n">
        <v>18</v>
      </c>
      <c r="E66" s="32">
        <f>IFERROR(INDEX(Produits!$D:$D,MATCH(B66,Produits!$A:$A,0)),0)</f>
        <v/>
      </c>
      <c r="F66" s="34" t="n">
        <v>0</v>
      </c>
      <c r="G66" s="35">
        <f>IFERROR(INDEX(Produits!$E:$E,MATCH(B66,Produits!$A:$A,0)),0)</f>
        <v/>
      </c>
      <c r="H66" s="32">
        <f>ROUND(D66*E66*(1-F66),2)</f>
        <v/>
      </c>
      <c r="I66" s="32">
        <f>ROUND(H66*G66,2)</f>
        <v/>
      </c>
    </row>
    <row r="67">
      <c r="A67" s="30" t="inlineStr">
        <is>
          <t>FA-2026-0020</t>
        </is>
      </c>
      <c r="B67" s="30" t="inlineStr">
        <is>
          <t>HO-05</t>
        </is>
      </c>
      <c r="C67" s="30">
        <f>IFERROR(INDEX(Produits!$B:$B,MATCH(B67,Produits!$A:$A,0)),"Réf inconnue")</f>
        <v/>
      </c>
      <c r="D67" s="30" t="n">
        <v>15</v>
      </c>
      <c r="E67" s="32">
        <f>IFERROR(INDEX(Produits!$D:$D,MATCH(B67,Produits!$A:$A,0)),0)</f>
        <v/>
      </c>
      <c r="F67" s="34" t="n">
        <v>0</v>
      </c>
      <c r="G67" s="35">
        <f>IFERROR(INDEX(Produits!$E:$E,MATCH(B67,Produits!$A:$A,0)),0)</f>
        <v/>
      </c>
      <c r="H67" s="32">
        <f>ROUND(D67*E67*(1-F67),2)</f>
        <v/>
      </c>
      <c r="I67" s="32">
        <f>ROUND(H67*G67,2)</f>
        <v/>
      </c>
    </row>
    <row r="68">
      <c r="A68" s="30" t="inlineStr">
        <is>
          <t>FA-2026-0020</t>
        </is>
      </c>
      <c r="B68" s="30" t="inlineStr">
        <is>
          <t>OL-V</t>
        </is>
      </c>
      <c r="C68" s="30">
        <f>IFERROR(INDEX(Produits!$B:$B,MATCH(B68,Produits!$A:$A,0)),"Réf inconnue")</f>
        <v/>
      </c>
      <c r="D68" s="30" t="n">
        <v>6</v>
      </c>
      <c r="E68" s="32">
        <f>IFERROR(INDEX(Produits!$D:$D,MATCH(B68,Produits!$A:$A,0)),0)</f>
        <v/>
      </c>
      <c r="F68" s="34" t="n">
        <v>0</v>
      </c>
      <c r="G68" s="35">
        <f>IFERROR(INDEX(Produits!$E:$E,MATCH(B68,Produits!$A:$A,0)),0)</f>
        <v/>
      </c>
      <c r="H68" s="32">
        <f>ROUND(D68*E68*(1-F68),2)</f>
        <v/>
      </c>
      <c r="I68" s="32">
        <f>ROUND(H68*G68,2)</f>
        <v/>
      </c>
    </row>
    <row r="69">
      <c r="A69" s="30" t="inlineStr">
        <is>
          <t>FA-2026-0021</t>
        </is>
      </c>
      <c r="B69" s="30" t="inlineStr">
        <is>
          <t>HO-1</t>
        </is>
      </c>
      <c r="C69" s="30">
        <f>IFERROR(INDEX(Produits!$B:$B,MATCH(B69,Produits!$A:$A,0)),"Réf inconnue")</f>
        <v/>
      </c>
      <c r="D69" s="30" t="n">
        <v>67</v>
      </c>
      <c r="E69" s="32">
        <f>IFERROR(INDEX(Produits!$D:$D,MATCH(B69,Produits!$A:$A,0)),0)</f>
        <v/>
      </c>
      <c r="F69" s="34" t="n">
        <v>0</v>
      </c>
      <c r="G69" s="35">
        <f>IFERROR(INDEX(Produits!$E:$E,MATCH(B69,Produits!$A:$A,0)),0)</f>
        <v/>
      </c>
      <c r="H69" s="32">
        <f>ROUND(D69*E69*(1-F69),2)</f>
        <v/>
      </c>
      <c r="I69" s="32">
        <f>ROUND(H69*G69,2)</f>
        <v/>
      </c>
    </row>
    <row r="70">
      <c r="A70" s="30" t="inlineStr">
        <is>
          <t>FA-2026-0021</t>
        </is>
      </c>
      <c r="B70" s="30" t="inlineStr">
        <is>
          <t>OL-V</t>
        </is>
      </c>
      <c r="C70" s="30">
        <f>IFERROR(INDEX(Produits!$B:$B,MATCH(B70,Produits!$A:$A,0)),"Réf inconnue")</f>
        <v/>
      </c>
      <c r="D70" s="30" t="n">
        <v>64</v>
      </c>
      <c r="E70" s="32">
        <f>IFERROR(INDEX(Produits!$D:$D,MATCH(B70,Produits!$A:$A,0)),0)</f>
        <v/>
      </c>
      <c r="F70" s="34" t="n">
        <v>0</v>
      </c>
      <c r="G70" s="35">
        <f>IFERROR(INDEX(Produits!$E:$E,MATCH(B70,Produits!$A:$A,0)),0)</f>
        <v/>
      </c>
      <c r="H70" s="32">
        <f>ROUND(D70*E70*(1-F70),2)</f>
        <v/>
      </c>
      <c r="I70" s="32">
        <f>ROUND(H70*G70,2)</f>
        <v/>
      </c>
    </row>
    <row r="71">
      <c r="A71" s="30" t="inlineStr">
        <is>
          <t>FA-2026-0021</t>
        </is>
      </c>
      <c r="B71" s="30" t="inlineStr">
        <is>
          <t>CF-P</t>
        </is>
      </c>
      <c r="C71" s="30">
        <f>IFERROR(INDEX(Produits!$B:$B,MATCH(B71,Produits!$A:$A,0)),"Réf inconnue")</f>
        <v/>
      </c>
      <c r="D71" s="30" t="n">
        <v>13</v>
      </c>
      <c r="E71" s="32">
        <f>IFERROR(INDEX(Produits!$D:$D,MATCH(B71,Produits!$A:$A,0)),0)</f>
        <v/>
      </c>
      <c r="F71" s="34" t="n">
        <v>0</v>
      </c>
      <c r="G71" s="35">
        <f>IFERROR(INDEX(Produits!$E:$E,MATCH(B71,Produits!$A:$A,0)),0)</f>
        <v/>
      </c>
      <c r="H71" s="32">
        <f>ROUND(D71*E71*(1-F71),2)</f>
        <v/>
      </c>
      <c r="I71" s="32">
        <f>ROUND(H71*G71,2)</f>
        <v/>
      </c>
    </row>
    <row r="72">
      <c r="A72" s="30" t="inlineStr">
        <is>
          <t>FA-2026-0022</t>
        </is>
      </c>
      <c r="B72" s="30" t="inlineStr">
        <is>
          <t>CF-P</t>
        </is>
      </c>
      <c r="C72" s="30">
        <f>IFERROR(INDEX(Produits!$B:$B,MATCH(B72,Produits!$A:$A,0)),"Réf inconnue")</f>
        <v/>
      </c>
      <c r="D72" s="30" t="n">
        <v>4</v>
      </c>
      <c r="E72" s="32">
        <f>IFERROR(INDEX(Produits!$D:$D,MATCH(B72,Produits!$A:$A,0)),0)</f>
        <v/>
      </c>
      <c r="F72" s="34" t="n">
        <v>0</v>
      </c>
      <c r="G72" s="35">
        <f>IFERROR(INDEX(Produits!$E:$E,MATCH(B72,Produits!$A:$A,0)),0)</f>
        <v/>
      </c>
      <c r="H72" s="32">
        <f>ROUND(D72*E72*(1-F72),2)</f>
        <v/>
      </c>
      <c r="I72" s="32">
        <f>ROUND(H72*G72,2)</f>
        <v/>
      </c>
    </row>
    <row r="73">
      <c r="A73" s="30" t="inlineStr">
        <is>
          <t>FA-2026-0022</t>
        </is>
      </c>
      <c r="B73" s="30" t="inlineStr">
        <is>
          <t>TP-O</t>
        </is>
      </c>
      <c r="C73" s="30">
        <f>IFERROR(INDEX(Produits!$B:$B,MATCH(B73,Produits!$A:$A,0)),"Réf inconnue")</f>
        <v/>
      </c>
      <c r="D73" s="30" t="n">
        <v>14</v>
      </c>
      <c r="E73" s="32">
        <f>IFERROR(INDEX(Produits!$D:$D,MATCH(B73,Produits!$A:$A,0)),0)</f>
        <v/>
      </c>
      <c r="F73" s="34" t="n">
        <v>0</v>
      </c>
      <c r="G73" s="35">
        <f>IFERROR(INDEX(Produits!$E:$E,MATCH(B73,Produits!$A:$A,0)),0)</f>
        <v/>
      </c>
      <c r="H73" s="32">
        <f>ROUND(D73*E73*(1-F73),2)</f>
        <v/>
      </c>
      <c r="I73" s="32">
        <f>ROUND(H73*G73,2)</f>
        <v/>
      </c>
    </row>
    <row r="74">
      <c r="A74" s="30" t="inlineStr">
        <is>
          <t>FA-2026-0022</t>
        </is>
      </c>
      <c r="B74" s="30" t="inlineStr">
        <is>
          <t>SV-O</t>
        </is>
      </c>
      <c r="C74" s="30">
        <f>IFERROR(INDEX(Produits!$B:$B,MATCH(B74,Produits!$A:$A,0)),"Réf inconnue")</f>
        <v/>
      </c>
      <c r="D74" s="30" t="n">
        <v>16</v>
      </c>
      <c r="E74" s="32">
        <f>IFERROR(INDEX(Produits!$D:$D,MATCH(B74,Produits!$A:$A,0)),0)</f>
        <v/>
      </c>
      <c r="F74" s="34" t="n">
        <v>0</v>
      </c>
      <c r="G74" s="35">
        <f>IFERROR(INDEX(Produits!$E:$E,MATCH(B74,Produits!$A:$A,0)),0)</f>
        <v/>
      </c>
      <c r="H74" s="32">
        <f>ROUND(D74*E74*(1-F74),2)</f>
        <v/>
      </c>
      <c r="I74" s="32">
        <f>ROUND(H74*G74,2)</f>
        <v/>
      </c>
    </row>
    <row r="75">
      <c r="A75" s="30" t="inlineStr">
        <is>
          <t>FA-2026-0022</t>
        </is>
      </c>
      <c r="B75" s="30" t="inlineStr">
        <is>
          <t>HO-T3</t>
        </is>
      </c>
      <c r="C75" s="30">
        <f>IFERROR(INDEX(Produits!$B:$B,MATCH(B75,Produits!$A:$A,0)),"Réf inconnue")</f>
        <v/>
      </c>
      <c r="D75" s="30" t="n">
        <v>14</v>
      </c>
      <c r="E75" s="32">
        <f>IFERROR(INDEX(Produits!$D:$D,MATCH(B75,Produits!$A:$A,0)),0)</f>
        <v/>
      </c>
      <c r="F75" s="34" t="n">
        <v>0</v>
      </c>
      <c r="G75" s="35">
        <f>IFERROR(INDEX(Produits!$E:$E,MATCH(B75,Produits!$A:$A,0)),0)</f>
        <v/>
      </c>
      <c r="H75" s="32">
        <f>ROUND(D75*E75*(1-F75),2)</f>
        <v/>
      </c>
      <c r="I75" s="32">
        <f>ROUND(H75*G75,2)</f>
        <v/>
      </c>
    </row>
    <row r="76">
      <c r="A76" s="30" t="inlineStr">
        <is>
          <t>FA-2026-0023</t>
        </is>
      </c>
      <c r="B76" s="30" t="inlineStr">
        <is>
          <t>SV-O</t>
        </is>
      </c>
      <c r="C76" s="30">
        <f>IFERROR(INDEX(Produits!$B:$B,MATCH(B76,Produits!$A:$A,0)),"Réf inconnue")</f>
        <v/>
      </c>
      <c r="D76" s="30" t="n">
        <v>59</v>
      </c>
      <c r="E76" s="32">
        <f>IFERROR(INDEX(Produits!$D:$D,MATCH(B76,Produits!$A:$A,0)),0)</f>
        <v/>
      </c>
      <c r="F76" s="34" t="n">
        <v>0</v>
      </c>
      <c r="G76" s="35">
        <f>IFERROR(INDEX(Produits!$E:$E,MATCH(B76,Produits!$A:$A,0)),0)</f>
        <v/>
      </c>
      <c r="H76" s="32">
        <f>ROUND(D76*E76*(1-F76),2)</f>
        <v/>
      </c>
      <c r="I76" s="32">
        <f>ROUND(H76*G76,2)</f>
        <v/>
      </c>
    </row>
    <row r="77">
      <c r="A77" s="30" t="inlineStr">
        <is>
          <t>FA-2026-0023</t>
        </is>
      </c>
      <c r="B77" s="30" t="inlineStr">
        <is>
          <t>CF-D</t>
        </is>
      </c>
      <c r="C77" s="30">
        <f>IFERROR(INDEX(Produits!$B:$B,MATCH(B77,Produits!$A:$A,0)),"Réf inconnue")</f>
        <v/>
      </c>
      <c r="D77" s="30" t="n">
        <v>16</v>
      </c>
      <c r="E77" s="32">
        <f>IFERROR(INDEX(Produits!$D:$D,MATCH(B77,Produits!$A:$A,0)),0)</f>
        <v/>
      </c>
      <c r="F77" s="34" t="n">
        <v>0</v>
      </c>
      <c r="G77" s="35">
        <f>IFERROR(INDEX(Produits!$E:$E,MATCH(B77,Produits!$A:$A,0)),0)</f>
        <v/>
      </c>
      <c r="H77" s="32">
        <f>ROUND(D77*E77*(1-F77),2)</f>
        <v/>
      </c>
      <c r="I77" s="32">
        <f>ROUND(H77*G77,2)</f>
        <v/>
      </c>
    </row>
    <row r="78">
      <c r="A78" s="30" t="inlineStr">
        <is>
          <t>FA-2026-0024</t>
        </is>
      </c>
      <c r="B78" s="30" t="inlineStr">
        <is>
          <t>OL-N</t>
        </is>
      </c>
      <c r="C78" s="30">
        <f>IFERROR(INDEX(Produits!$B:$B,MATCH(B78,Produits!$A:$A,0)),"Réf inconnue")</f>
        <v/>
      </c>
      <c r="D78" s="30" t="n">
        <v>75</v>
      </c>
      <c r="E78" s="32">
        <f>IFERROR(INDEX(Produits!$D:$D,MATCH(B78,Produits!$A:$A,0)),0)</f>
        <v/>
      </c>
      <c r="F78" s="34" t="n">
        <v>0</v>
      </c>
      <c r="G78" s="35">
        <f>IFERROR(INDEX(Produits!$E:$E,MATCH(B78,Produits!$A:$A,0)),0)</f>
        <v/>
      </c>
      <c r="H78" s="32">
        <f>ROUND(D78*E78*(1-F78),2)</f>
        <v/>
      </c>
      <c r="I78" s="32">
        <f>ROUND(H78*G78,2)</f>
        <v/>
      </c>
    </row>
    <row r="79">
      <c r="A79" s="30" t="inlineStr">
        <is>
          <t>FA-2026-0024</t>
        </is>
      </c>
      <c r="B79" s="30" t="inlineStr">
        <is>
          <t>TP-O</t>
        </is>
      </c>
      <c r="C79" s="30">
        <f>IFERROR(INDEX(Produits!$B:$B,MATCH(B79,Produits!$A:$A,0)),"Réf inconnue")</f>
        <v/>
      </c>
      <c r="D79" s="30" t="n">
        <v>78</v>
      </c>
      <c r="E79" s="32">
        <f>IFERROR(INDEX(Produits!$D:$D,MATCH(B79,Produits!$A:$A,0)),0)</f>
        <v/>
      </c>
      <c r="F79" s="34" t="n">
        <v>0</v>
      </c>
      <c r="G79" s="35">
        <f>IFERROR(INDEX(Produits!$E:$E,MATCH(B79,Produits!$A:$A,0)),0)</f>
        <v/>
      </c>
      <c r="H79" s="32">
        <f>ROUND(D79*E79*(1-F79),2)</f>
        <v/>
      </c>
      <c r="I79" s="32">
        <f>ROUND(H79*G79,2)</f>
        <v/>
      </c>
    </row>
    <row r="80">
      <c r="A80" s="30" t="inlineStr">
        <is>
          <t>FA-2026-0025</t>
        </is>
      </c>
      <c r="B80" s="30" t="inlineStr">
        <is>
          <t>CF-P</t>
        </is>
      </c>
      <c r="C80" s="30">
        <f>IFERROR(INDEX(Produits!$B:$B,MATCH(B80,Produits!$A:$A,0)),"Réf inconnue")</f>
        <v/>
      </c>
      <c r="D80" s="30" t="n">
        <v>2</v>
      </c>
      <c r="E80" s="32">
        <f>IFERROR(INDEX(Produits!$D:$D,MATCH(B80,Produits!$A:$A,0)),0)</f>
        <v/>
      </c>
      <c r="F80" s="34" t="n">
        <v>0</v>
      </c>
      <c r="G80" s="35">
        <f>IFERROR(INDEX(Produits!$E:$E,MATCH(B80,Produits!$A:$A,0)),0)</f>
        <v/>
      </c>
      <c r="H80" s="32">
        <f>ROUND(D80*E80*(1-F80),2)</f>
        <v/>
      </c>
      <c r="I80" s="32">
        <f>ROUND(H80*G80,2)</f>
        <v/>
      </c>
    </row>
    <row r="81">
      <c r="A81" s="30" t="inlineStr">
        <is>
          <t>FA-2026-0025</t>
        </is>
      </c>
      <c r="B81" s="30" t="inlineStr">
        <is>
          <t>CF-D</t>
        </is>
      </c>
      <c r="C81" s="30">
        <f>IFERROR(INDEX(Produits!$B:$B,MATCH(B81,Produits!$A:$A,0)),"Réf inconnue")</f>
        <v/>
      </c>
      <c r="D81" s="30" t="n">
        <v>2</v>
      </c>
      <c r="E81" s="32">
        <f>IFERROR(INDEX(Produits!$D:$D,MATCH(B81,Produits!$A:$A,0)),0)</f>
        <v/>
      </c>
      <c r="F81" s="34" t="n">
        <v>0</v>
      </c>
      <c r="G81" s="35">
        <f>IFERROR(INDEX(Produits!$E:$E,MATCH(B81,Produits!$A:$A,0)),0)</f>
        <v/>
      </c>
      <c r="H81" s="32">
        <f>ROUND(D81*E81*(1-F81),2)</f>
        <v/>
      </c>
      <c r="I81" s="32">
        <f>ROUND(H81*G81,2)</f>
        <v/>
      </c>
    </row>
    <row r="82">
      <c r="A82" s="30" t="inlineStr">
        <is>
          <t>FA-2026-0026</t>
        </is>
      </c>
      <c r="B82" s="30" t="inlineStr">
        <is>
          <t>SV-O</t>
        </is>
      </c>
      <c r="C82" s="30">
        <f>IFERROR(INDEX(Produits!$B:$B,MATCH(B82,Produits!$A:$A,0)),"Réf inconnue")</f>
        <v/>
      </c>
      <c r="D82" s="30" t="n">
        <v>18</v>
      </c>
      <c r="E82" s="32">
        <f>IFERROR(INDEX(Produits!$D:$D,MATCH(B82,Produits!$A:$A,0)),0)</f>
        <v/>
      </c>
      <c r="F82" s="34" t="n">
        <v>0.03</v>
      </c>
      <c r="G82" s="35">
        <f>IFERROR(INDEX(Produits!$E:$E,MATCH(B82,Produits!$A:$A,0)),0)</f>
        <v/>
      </c>
      <c r="H82" s="32">
        <f>ROUND(D82*E82*(1-F82),2)</f>
        <v/>
      </c>
      <c r="I82" s="32">
        <f>ROUND(H82*G82,2)</f>
        <v/>
      </c>
    </row>
    <row r="83">
      <c r="A83" s="30" t="inlineStr">
        <is>
          <t>FA-2026-0026</t>
        </is>
      </c>
      <c r="B83" s="30" t="inlineStr">
        <is>
          <t>HO-5</t>
        </is>
      </c>
      <c r="C83" s="30">
        <f>IFERROR(INDEX(Produits!$B:$B,MATCH(B83,Produits!$A:$A,0)),"Réf inconnue")</f>
        <v/>
      </c>
      <c r="D83" s="30" t="n">
        <v>37</v>
      </c>
      <c r="E83" s="32">
        <f>IFERROR(INDEX(Produits!$D:$D,MATCH(B83,Produits!$A:$A,0)),0)</f>
        <v/>
      </c>
      <c r="F83" s="34" t="n">
        <v>0</v>
      </c>
      <c r="G83" s="35">
        <f>IFERROR(INDEX(Produits!$E:$E,MATCH(B83,Produits!$A:$A,0)),0)</f>
        <v/>
      </c>
      <c r="H83" s="32">
        <f>ROUND(D83*E83*(1-F83),2)</f>
        <v/>
      </c>
      <c r="I83" s="32">
        <f>ROUND(H83*G83,2)</f>
        <v/>
      </c>
    </row>
    <row r="84">
      <c r="A84" s="30" t="inlineStr">
        <is>
          <t>FA-2026-0026</t>
        </is>
      </c>
      <c r="B84" s="30" t="inlineStr">
        <is>
          <t>CF-D</t>
        </is>
      </c>
      <c r="C84" s="30">
        <f>IFERROR(INDEX(Produits!$B:$B,MATCH(B84,Produits!$A:$A,0)),"Réf inconnue")</f>
        <v/>
      </c>
      <c r="D84" s="30" t="n">
        <v>2</v>
      </c>
      <c r="E84" s="32">
        <f>IFERROR(INDEX(Produits!$D:$D,MATCH(B84,Produits!$A:$A,0)),0)</f>
        <v/>
      </c>
      <c r="F84" s="34" t="n">
        <v>0</v>
      </c>
      <c r="G84" s="35">
        <f>IFERROR(INDEX(Produits!$E:$E,MATCH(B84,Produits!$A:$A,0)),0)</f>
        <v/>
      </c>
      <c r="H84" s="32">
        <f>ROUND(D84*E84*(1-F84),2)</f>
        <v/>
      </c>
      <c r="I84" s="32">
        <f>ROUND(H84*G84,2)</f>
        <v/>
      </c>
    </row>
    <row r="85">
      <c r="A85" s="30" t="inlineStr">
        <is>
          <t>FA-2026-0026</t>
        </is>
      </c>
      <c r="B85" s="30" t="inlineStr">
        <is>
          <t>OL-V</t>
        </is>
      </c>
      <c r="C85" s="30">
        <f>IFERROR(INDEX(Produits!$B:$B,MATCH(B85,Produits!$A:$A,0)),"Réf inconnue")</f>
        <v/>
      </c>
      <c r="D85" s="30" t="n">
        <v>39</v>
      </c>
      <c r="E85" s="32">
        <f>IFERROR(INDEX(Produits!$D:$D,MATCH(B85,Produits!$A:$A,0)),0)</f>
        <v/>
      </c>
      <c r="F85" s="34" t="n">
        <v>0.05</v>
      </c>
      <c r="G85" s="35">
        <f>IFERROR(INDEX(Produits!$E:$E,MATCH(B85,Produits!$A:$A,0)),0)</f>
        <v/>
      </c>
      <c r="H85" s="32">
        <f>ROUND(D85*E85*(1-F85),2)</f>
        <v/>
      </c>
      <c r="I85" s="32">
        <f>ROUND(H85*G85,2)</f>
        <v/>
      </c>
    </row>
    <row r="86">
      <c r="A86" s="30" t="inlineStr">
        <is>
          <t>FA-2026-0026</t>
        </is>
      </c>
      <c r="B86" s="30" t="inlineStr">
        <is>
          <t>TP-O</t>
        </is>
      </c>
      <c r="C86" s="30">
        <f>IFERROR(INDEX(Produits!$B:$B,MATCH(B86,Produits!$A:$A,0)),"Réf inconnue")</f>
        <v/>
      </c>
      <c r="D86" s="30" t="n">
        <v>31</v>
      </c>
      <c r="E86" s="32">
        <f>IFERROR(INDEX(Produits!$D:$D,MATCH(B86,Produits!$A:$A,0)),0)</f>
        <v/>
      </c>
      <c r="F86" s="34" t="n">
        <v>0.03</v>
      </c>
      <c r="G86" s="35">
        <f>IFERROR(INDEX(Produits!$E:$E,MATCH(B86,Produits!$A:$A,0)),0)</f>
        <v/>
      </c>
      <c r="H86" s="32">
        <f>ROUND(D86*E86*(1-F86),2)</f>
        <v/>
      </c>
      <c r="I86" s="32">
        <f>ROUND(H86*G86,2)</f>
        <v/>
      </c>
    </row>
    <row r="87">
      <c r="A87" s="30" t="inlineStr">
        <is>
          <t>FA-2026-0027</t>
        </is>
      </c>
      <c r="B87" s="30" t="inlineStr">
        <is>
          <t>HO-5</t>
        </is>
      </c>
      <c r="C87" s="30">
        <f>IFERROR(INDEX(Produits!$B:$B,MATCH(B87,Produits!$A:$A,0)),"Réf inconnue")</f>
        <v/>
      </c>
      <c r="D87" s="30" t="n">
        <v>31</v>
      </c>
      <c r="E87" s="32">
        <f>IFERROR(INDEX(Produits!$D:$D,MATCH(B87,Produits!$A:$A,0)),0)</f>
        <v/>
      </c>
      <c r="F87" s="34" t="n">
        <v>0</v>
      </c>
      <c r="G87" s="35">
        <f>IFERROR(INDEX(Produits!$E:$E,MATCH(B87,Produits!$A:$A,0)),0)</f>
        <v/>
      </c>
      <c r="H87" s="32">
        <f>ROUND(D87*E87*(1-F87),2)</f>
        <v/>
      </c>
      <c r="I87" s="32">
        <f>ROUND(H87*G87,2)</f>
        <v/>
      </c>
    </row>
    <row r="88">
      <c r="A88" s="30" t="inlineStr">
        <is>
          <t>FA-2026-0027</t>
        </is>
      </c>
      <c r="B88" s="30" t="inlineStr">
        <is>
          <t>CF-P</t>
        </is>
      </c>
      <c r="C88" s="30">
        <f>IFERROR(INDEX(Produits!$B:$B,MATCH(B88,Produits!$A:$A,0)),"Réf inconnue")</f>
        <v/>
      </c>
      <c r="D88" s="30" t="n">
        <v>3</v>
      </c>
      <c r="E88" s="32">
        <f>IFERROR(INDEX(Produits!$D:$D,MATCH(B88,Produits!$A:$A,0)),0)</f>
        <v/>
      </c>
      <c r="F88" s="34" t="n">
        <v>0</v>
      </c>
      <c r="G88" s="35">
        <f>IFERROR(INDEX(Produits!$E:$E,MATCH(B88,Produits!$A:$A,0)),0)</f>
        <v/>
      </c>
      <c r="H88" s="32">
        <f>ROUND(D88*E88*(1-F88),2)</f>
        <v/>
      </c>
      <c r="I88" s="32">
        <f>ROUND(H88*G88,2)</f>
        <v/>
      </c>
    </row>
    <row r="89">
      <c r="A89" s="30" t="inlineStr">
        <is>
          <t>FA-2026-0027</t>
        </is>
      </c>
      <c r="B89" s="30" t="inlineStr">
        <is>
          <t>OL-N</t>
        </is>
      </c>
      <c r="C89" s="30">
        <f>IFERROR(INDEX(Produits!$B:$B,MATCH(B89,Produits!$A:$A,0)),"Réf inconnue")</f>
        <v/>
      </c>
      <c r="D89" s="30" t="n">
        <v>5</v>
      </c>
      <c r="E89" s="32">
        <f>IFERROR(INDEX(Produits!$D:$D,MATCH(B89,Produits!$A:$A,0)),0)</f>
        <v/>
      </c>
      <c r="F89" s="34" t="n">
        <v>0</v>
      </c>
      <c r="G89" s="35">
        <f>IFERROR(INDEX(Produits!$E:$E,MATCH(B89,Produits!$A:$A,0)),0)</f>
        <v/>
      </c>
      <c r="H89" s="32">
        <f>ROUND(D89*E89*(1-F89),2)</f>
        <v/>
      </c>
      <c r="I89" s="32">
        <f>ROUND(H89*G89,2)</f>
        <v/>
      </c>
    </row>
    <row r="90">
      <c r="A90" s="30" t="inlineStr">
        <is>
          <t>FA-2026-0028</t>
        </is>
      </c>
      <c r="B90" s="30" t="inlineStr">
        <is>
          <t>TP-O</t>
        </is>
      </c>
      <c r="C90" s="30">
        <f>IFERROR(INDEX(Produits!$B:$B,MATCH(B90,Produits!$A:$A,0)),"Réf inconnue")</f>
        <v/>
      </c>
      <c r="D90" s="30" t="n">
        <v>67</v>
      </c>
      <c r="E90" s="32">
        <f>IFERROR(INDEX(Produits!$D:$D,MATCH(B90,Produits!$A:$A,0)),0)</f>
        <v/>
      </c>
      <c r="F90" s="34" t="n">
        <v>0.03</v>
      </c>
      <c r="G90" s="35">
        <f>IFERROR(INDEX(Produits!$E:$E,MATCH(B90,Produits!$A:$A,0)),0)</f>
        <v/>
      </c>
      <c r="H90" s="32">
        <f>ROUND(D90*E90*(1-F90),2)</f>
        <v/>
      </c>
      <c r="I90" s="32">
        <f>ROUND(H90*G90,2)</f>
        <v/>
      </c>
    </row>
    <row r="91">
      <c r="A91" s="30" t="inlineStr">
        <is>
          <t>FA-2026-0028</t>
        </is>
      </c>
      <c r="B91" s="30" t="inlineStr">
        <is>
          <t>SV-O</t>
        </is>
      </c>
      <c r="C91" s="30">
        <f>IFERROR(INDEX(Produits!$B:$B,MATCH(B91,Produits!$A:$A,0)),"Réf inconnue")</f>
        <v/>
      </c>
      <c r="D91" s="30" t="n">
        <v>33</v>
      </c>
      <c r="E91" s="32">
        <f>IFERROR(INDEX(Produits!$D:$D,MATCH(B91,Produits!$A:$A,0)),0)</f>
        <v/>
      </c>
      <c r="F91" s="34" t="n">
        <v>0.03</v>
      </c>
      <c r="G91" s="35">
        <f>IFERROR(INDEX(Produits!$E:$E,MATCH(B91,Produits!$A:$A,0)),0)</f>
        <v/>
      </c>
      <c r="H91" s="32">
        <f>ROUND(D91*E91*(1-F91),2)</f>
        <v/>
      </c>
      <c r="I91" s="32">
        <f>ROUND(H91*G91,2)</f>
        <v/>
      </c>
    </row>
    <row r="92">
      <c r="A92" s="30" t="inlineStr">
        <is>
          <t>FA-2026-0028</t>
        </is>
      </c>
      <c r="B92" s="30" t="inlineStr">
        <is>
          <t>OL-V</t>
        </is>
      </c>
      <c r="C92" s="30">
        <f>IFERROR(INDEX(Produits!$B:$B,MATCH(B92,Produits!$A:$A,0)),"Réf inconnue")</f>
        <v/>
      </c>
      <c r="D92" s="30" t="n">
        <v>63</v>
      </c>
      <c r="E92" s="32">
        <f>IFERROR(INDEX(Produits!$D:$D,MATCH(B92,Produits!$A:$A,0)),0)</f>
        <v/>
      </c>
      <c r="F92" s="34" t="n">
        <v>0.03</v>
      </c>
      <c r="G92" s="35">
        <f>IFERROR(INDEX(Produits!$E:$E,MATCH(B92,Produits!$A:$A,0)),0)</f>
        <v/>
      </c>
      <c r="H92" s="32">
        <f>ROUND(D92*E92*(1-F92),2)</f>
        <v/>
      </c>
      <c r="I92" s="32">
        <f>ROUND(H92*G92,2)</f>
        <v/>
      </c>
    </row>
    <row r="93">
      <c r="A93" s="30" t="inlineStr">
        <is>
          <t>FA-2026-0028</t>
        </is>
      </c>
      <c r="B93" s="30" t="inlineStr">
        <is>
          <t>HO-5</t>
        </is>
      </c>
      <c r="C93" s="30">
        <f>IFERROR(INDEX(Produits!$B:$B,MATCH(B93,Produits!$A:$A,0)),"Réf inconnue")</f>
        <v/>
      </c>
      <c r="D93" s="30" t="n">
        <v>31</v>
      </c>
      <c r="E93" s="32">
        <f>IFERROR(INDEX(Produits!$D:$D,MATCH(B93,Produits!$A:$A,0)),0)</f>
        <v/>
      </c>
      <c r="F93" s="34" t="n">
        <v>0</v>
      </c>
      <c r="G93" s="35">
        <f>IFERROR(INDEX(Produits!$E:$E,MATCH(B93,Produits!$A:$A,0)),0)</f>
        <v/>
      </c>
      <c r="H93" s="32">
        <f>ROUND(D93*E93*(1-F93),2)</f>
        <v/>
      </c>
      <c r="I93" s="32">
        <f>ROUND(H93*G93,2)</f>
        <v/>
      </c>
    </row>
    <row r="94">
      <c r="A94" s="30" t="inlineStr">
        <is>
          <t>FA-2026-0029</t>
        </is>
      </c>
      <c r="B94" s="30" t="inlineStr">
        <is>
          <t>OL-V</t>
        </is>
      </c>
      <c r="C94" s="30">
        <f>IFERROR(INDEX(Produits!$B:$B,MATCH(B94,Produits!$A:$A,0)),"Réf inconnue")</f>
        <v/>
      </c>
      <c r="D94" s="30" t="n">
        <v>64</v>
      </c>
      <c r="E94" s="32">
        <f>IFERROR(INDEX(Produits!$D:$D,MATCH(B94,Produits!$A:$A,0)),0)</f>
        <v/>
      </c>
      <c r="F94" s="34" t="n">
        <v>0</v>
      </c>
      <c r="G94" s="35">
        <f>IFERROR(INDEX(Produits!$E:$E,MATCH(B94,Produits!$A:$A,0)),0)</f>
        <v/>
      </c>
      <c r="H94" s="32">
        <f>ROUND(D94*E94*(1-F94),2)</f>
        <v/>
      </c>
      <c r="I94" s="32">
        <f>ROUND(H94*G94,2)</f>
        <v/>
      </c>
    </row>
    <row r="95">
      <c r="A95" s="30" t="inlineStr">
        <is>
          <t>FA-2026-0029</t>
        </is>
      </c>
      <c r="B95" s="30" t="inlineStr">
        <is>
          <t>HO-05</t>
        </is>
      </c>
      <c r="C95" s="30">
        <f>IFERROR(INDEX(Produits!$B:$B,MATCH(B95,Produits!$A:$A,0)),"Réf inconnue")</f>
        <v/>
      </c>
      <c r="D95" s="30" t="n">
        <v>83</v>
      </c>
      <c r="E95" s="32">
        <f>IFERROR(INDEX(Produits!$D:$D,MATCH(B95,Produits!$A:$A,0)),0)</f>
        <v/>
      </c>
      <c r="F95" s="34" t="n">
        <v>0</v>
      </c>
      <c r="G95" s="35">
        <f>IFERROR(INDEX(Produits!$E:$E,MATCH(B95,Produits!$A:$A,0)),0)</f>
        <v/>
      </c>
      <c r="H95" s="32">
        <f>ROUND(D95*E95*(1-F95),2)</f>
        <v/>
      </c>
      <c r="I95" s="32">
        <f>ROUND(H95*G95,2)</f>
        <v/>
      </c>
    </row>
    <row r="96">
      <c r="A96" s="30" t="inlineStr">
        <is>
          <t>FA-2026-0029</t>
        </is>
      </c>
      <c r="B96" s="30" t="inlineStr">
        <is>
          <t>OL-N</t>
        </is>
      </c>
      <c r="C96" s="30">
        <f>IFERROR(INDEX(Produits!$B:$B,MATCH(B96,Produits!$A:$A,0)),"Réf inconnue")</f>
        <v/>
      </c>
      <c r="D96" s="30" t="n">
        <v>89</v>
      </c>
      <c r="E96" s="32">
        <f>IFERROR(INDEX(Produits!$D:$D,MATCH(B96,Produits!$A:$A,0)),0)</f>
        <v/>
      </c>
      <c r="F96" s="34" t="n">
        <v>0</v>
      </c>
      <c r="G96" s="35">
        <f>IFERROR(INDEX(Produits!$E:$E,MATCH(B96,Produits!$A:$A,0)),0)</f>
        <v/>
      </c>
      <c r="H96" s="32">
        <f>ROUND(D96*E96*(1-F96),2)</f>
        <v/>
      </c>
      <c r="I96" s="32">
        <f>ROUND(H96*G96,2)</f>
        <v/>
      </c>
    </row>
    <row r="97">
      <c r="A97" s="30" t="inlineStr">
        <is>
          <t>FA-2026-0029</t>
        </is>
      </c>
      <c r="B97" s="30" t="inlineStr">
        <is>
          <t>HO-T3</t>
        </is>
      </c>
      <c r="C97" s="30">
        <f>IFERROR(INDEX(Produits!$B:$B,MATCH(B97,Produits!$A:$A,0)),"Réf inconnue")</f>
        <v/>
      </c>
      <c r="D97" s="30" t="n">
        <v>67</v>
      </c>
      <c r="E97" s="32">
        <f>IFERROR(INDEX(Produits!$D:$D,MATCH(B97,Produits!$A:$A,0)),0)</f>
        <v/>
      </c>
      <c r="F97" s="34" t="n">
        <v>0</v>
      </c>
      <c r="G97" s="35">
        <f>IFERROR(INDEX(Produits!$E:$E,MATCH(B97,Produits!$A:$A,0)),0)</f>
        <v/>
      </c>
      <c r="H97" s="32">
        <f>ROUND(D97*E97*(1-F97),2)</f>
        <v/>
      </c>
      <c r="I97" s="32">
        <f>ROUND(H97*G97,2)</f>
        <v/>
      </c>
    </row>
    <row r="98">
      <c r="A98" s="30" t="inlineStr">
        <is>
          <t>FA-2026-0030</t>
        </is>
      </c>
      <c r="B98" s="30" t="inlineStr">
        <is>
          <t>SV-O</t>
        </is>
      </c>
      <c r="C98" s="30">
        <f>IFERROR(INDEX(Produits!$B:$B,MATCH(B98,Produits!$A:$A,0)),"Réf inconnue")</f>
        <v/>
      </c>
      <c r="D98" s="30" t="n">
        <v>75</v>
      </c>
      <c r="E98" s="32">
        <f>IFERROR(INDEX(Produits!$D:$D,MATCH(B98,Produits!$A:$A,0)),0)</f>
        <v/>
      </c>
      <c r="F98" s="34" t="n">
        <v>0.03</v>
      </c>
      <c r="G98" s="35">
        <f>IFERROR(INDEX(Produits!$E:$E,MATCH(B98,Produits!$A:$A,0)),0)</f>
        <v/>
      </c>
      <c r="H98" s="32">
        <f>ROUND(D98*E98*(1-F98),2)</f>
        <v/>
      </c>
      <c r="I98" s="32">
        <f>ROUND(H98*G98,2)</f>
        <v/>
      </c>
    </row>
    <row r="99">
      <c r="A99" s="30" t="inlineStr">
        <is>
          <t>FA-2026-0030</t>
        </is>
      </c>
      <c r="B99" s="30" t="inlineStr">
        <is>
          <t>OL-N</t>
        </is>
      </c>
      <c r="C99" s="30">
        <f>IFERROR(INDEX(Produits!$B:$B,MATCH(B99,Produits!$A:$A,0)),"Réf inconnue")</f>
        <v/>
      </c>
      <c r="D99" s="30" t="n">
        <v>29</v>
      </c>
      <c r="E99" s="32">
        <f>IFERROR(INDEX(Produits!$D:$D,MATCH(B99,Produits!$A:$A,0)),0)</f>
        <v/>
      </c>
      <c r="F99" s="34" t="n">
        <v>0</v>
      </c>
      <c r="G99" s="35">
        <f>IFERROR(INDEX(Produits!$E:$E,MATCH(B99,Produits!$A:$A,0)),0)</f>
        <v/>
      </c>
      <c r="H99" s="32">
        <f>ROUND(D99*E99*(1-F99),2)</f>
        <v/>
      </c>
      <c r="I99" s="32">
        <f>ROUND(H99*G99,2)</f>
        <v/>
      </c>
    </row>
    <row r="100">
      <c r="A100" s="30" t="inlineStr">
        <is>
          <t>FA-2026-0030</t>
        </is>
      </c>
      <c r="B100" s="30" t="inlineStr">
        <is>
          <t>HO-05</t>
        </is>
      </c>
      <c r="C100" s="30">
        <f>IFERROR(INDEX(Produits!$B:$B,MATCH(B100,Produits!$A:$A,0)),"Réf inconnue")</f>
        <v/>
      </c>
      <c r="D100" s="30" t="n">
        <v>46</v>
      </c>
      <c r="E100" s="32">
        <f>IFERROR(INDEX(Produits!$D:$D,MATCH(B100,Produits!$A:$A,0)),0)</f>
        <v/>
      </c>
      <c r="F100" s="34" t="n">
        <v>0</v>
      </c>
      <c r="G100" s="35">
        <f>IFERROR(INDEX(Produits!$E:$E,MATCH(B100,Produits!$A:$A,0)),0)</f>
        <v/>
      </c>
      <c r="H100" s="32">
        <f>ROUND(D100*E100*(1-F100),2)</f>
        <v/>
      </c>
      <c r="I100" s="32">
        <f>ROUND(H100*G100,2)</f>
        <v/>
      </c>
    </row>
    <row r="101">
      <c r="A101" s="30" t="inlineStr">
        <is>
          <t>FA-2026-0031</t>
        </is>
      </c>
      <c r="B101" s="30" t="inlineStr">
        <is>
          <t>OL-N</t>
        </is>
      </c>
      <c r="C101" s="30">
        <f>IFERROR(INDEX(Produits!$B:$B,MATCH(B101,Produits!$A:$A,0)),"Réf inconnue")</f>
        <v/>
      </c>
      <c r="D101" s="30" t="n">
        <v>14</v>
      </c>
      <c r="E101" s="32">
        <f>IFERROR(INDEX(Produits!$D:$D,MATCH(B101,Produits!$A:$A,0)),0)</f>
        <v/>
      </c>
      <c r="F101" s="34" t="n">
        <v>0</v>
      </c>
      <c r="G101" s="35">
        <f>IFERROR(INDEX(Produits!$E:$E,MATCH(B101,Produits!$A:$A,0)),0)</f>
        <v/>
      </c>
      <c r="H101" s="32">
        <f>ROUND(D101*E101*(1-F101),2)</f>
        <v/>
      </c>
      <c r="I101" s="32">
        <f>ROUND(H101*G101,2)</f>
        <v/>
      </c>
    </row>
    <row r="102">
      <c r="A102" s="30" t="inlineStr">
        <is>
          <t>FA-2026-0031</t>
        </is>
      </c>
      <c r="B102" s="30" t="inlineStr">
        <is>
          <t>CF-P</t>
        </is>
      </c>
      <c r="C102" s="30">
        <f>IFERROR(INDEX(Produits!$B:$B,MATCH(B102,Produits!$A:$A,0)),"Réf inconnue")</f>
        <v/>
      </c>
      <c r="D102" s="30" t="n">
        <v>3</v>
      </c>
      <c r="E102" s="32">
        <f>IFERROR(INDEX(Produits!$D:$D,MATCH(B102,Produits!$A:$A,0)),0)</f>
        <v/>
      </c>
      <c r="F102" s="34" t="n">
        <v>0</v>
      </c>
      <c r="G102" s="35">
        <f>IFERROR(INDEX(Produits!$E:$E,MATCH(B102,Produits!$A:$A,0)),0)</f>
        <v/>
      </c>
      <c r="H102" s="32">
        <f>ROUND(D102*E102*(1-F102),2)</f>
        <v/>
      </c>
      <c r="I102" s="32">
        <f>ROUND(H102*G102,2)</f>
        <v/>
      </c>
    </row>
    <row r="103">
      <c r="A103" s="30" t="inlineStr">
        <is>
          <t>FA-2026-0032</t>
        </is>
      </c>
      <c r="B103" s="30" t="inlineStr">
        <is>
          <t>OL-N</t>
        </is>
      </c>
      <c r="C103" s="30">
        <f>IFERROR(INDEX(Produits!$B:$B,MATCH(B103,Produits!$A:$A,0)),"Réf inconnue")</f>
        <v/>
      </c>
      <c r="D103" s="30" t="n">
        <v>7</v>
      </c>
      <c r="E103" s="32">
        <f>IFERROR(INDEX(Produits!$D:$D,MATCH(B103,Produits!$A:$A,0)),0)</f>
        <v/>
      </c>
      <c r="F103" s="34" t="n">
        <v>0</v>
      </c>
      <c r="G103" s="35">
        <f>IFERROR(INDEX(Produits!$E:$E,MATCH(B103,Produits!$A:$A,0)),0)</f>
        <v/>
      </c>
      <c r="H103" s="32">
        <f>ROUND(D103*E103*(1-F103),2)</f>
        <v/>
      </c>
      <c r="I103" s="32">
        <f>ROUND(H103*G103,2)</f>
        <v/>
      </c>
    </row>
    <row r="104">
      <c r="A104" s="30" t="inlineStr">
        <is>
          <t>FA-2026-0032</t>
        </is>
      </c>
      <c r="B104" s="30" t="inlineStr">
        <is>
          <t>HO-1</t>
        </is>
      </c>
      <c r="C104" s="30">
        <f>IFERROR(INDEX(Produits!$B:$B,MATCH(B104,Produits!$A:$A,0)),"Réf inconnue")</f>
        <v/>
      </c>
      <c r="D104" s="30" t="n">
        <v>16</v>
      </c>
      <c r="E104" s="32">
        <f>IFERROR(INDEX(Produits!$D:$D,MATCH(B104,Produits!$A:$A,0)),0)</f>
        <v/>
      </c>
      <c r="F104" s="34" t="n">
        <v>0</v>
      </c>
      <c r="G104" s="35">
        <f>IFERROR(INDEX(Produits!$E:$E,MATCH(B104,Produits!$A:$A,0)),0)</f>
        <v/>
      </c>
      <c r="H104" s="32">
        <f>ROUND(D104*E104*(1-F104),2)</f>
        <v/>
      </c>
      <c r="I104" s="32">
        <f>ROUND(H104*G104,2)</f>
        <v/>
      </c>
    </row>
    <row r="105">
      <c r="A105" s="30" t="inlineStr">
        <is>
          <t>FA-2026-0032</t>
        </is>
      </c>
      <c r="B105" s="30" t="inlineStr">
        <is>
          <t>SV-O</t>
        </is>
      </c>
      <c r="C105" s="30">
        <f>IFERROR(INDEX(Produits!$B:$B,MATCH(B105,Produits!$A:$A,0)),"Réf inconnue")</f>
        <v/>
      </c>
      <c r="D105" s="30" t="n">
        <v>7</v>
      </c>
      <c r="E105" s="32">
        <f>IFERROR(INDEX(Produits!$D:$D,MATCH(B105,Produits!$A:$A,0)),0)</f>
        <v/>
      </c>
      <c r="F105" s="34" t="n">
        <v>0</v>
      </c>
      <c r="G105" s="35">
        <f>IFERROR(INDEX(Produits!$E:$E,MATCH(B105,Produits!$A:$A,0)),0)</f>
        <v/>
      </c>
      <c r="H105" s="32">
        <f>ROUND(D105*E105*(1-F105),2)</f>
        <v/>
      </c>
      <c r="I105" s="32">
        <f>ROUND(H105*G105,2)</f>
        <v/>
      </c>
    </row>
    <row r="106">
      <c r="A106" s="30" t="inlineStr">
        <is>
          <t>FA-2026-0032</t>
        </is>
      </c>
      <c r="B106" s="30" t="inlineStr">
        <is>
          <t>OL-V</t>
        </is>
      </c>
      <c r="C106" s="30">
        <f>IFERROR(INDEX(Produits!$B:$B,MATCH(B106,Produits!$A:$A,0)),"Réf inconnue")</f>
        <v/>
      </c>
      <c r="D106" s="30" t="n">
        <v>27</v>
      </c>
      <c r="E106" s="32">
        <f>IFERROR(INDEX(Produits!$D:$D,MATCH(B106,Produits!$A:$A,0)),0)</f>
        <v/>
      </c>
      <c r="F106" s="34" t="n">
        <v>0</v>
      </c>
      <c r="G106" s="35">
        <f>IFERROR(INDEX(Produits!$E:$E,MATCH(B106,Produits!$A:$A,0)),0)</f>
        <v/>
      </c>
      <c r="H106" s="32">
        <f>ROUND(D106*E106*(1-F106),2)</f>
        <v/>
      </c>
      <c r="I106" s="32">
        <f>ROUND(H106*G106,2)</f>
        <v/>
      </c>
    </row>
    <row r="107">
      <c r="A107" s="30" t="inlineStr">
        <is>
          <t>FA-2026-0033</t>
        </is>
      </c>
      <c r="B107" s="30" t="inlineStr">
        <is>
          <t>OL-N</t>
        </is>
      </c>
      <c r="C107" s="30">
        <f>IFERROR(INDEX(Produits!$B:$B,MATCH(B107,Produits!$A:$A,0)),"Réf inconnue")</f>
        <v/>
      </c>
      <c r="D107" s="30" t="n">
        <v>25</v>
      </c>
      <c r="E107" s="32">
        <f>IFERROR(INDEX(Produits!$D:$D,MATCH(B107,Produits!$A:$A,0)),0)</f>
        <v/>
      </c>
      <c r="F107" s="34" t="n">
        <v>0</v>
      </c>
      <c r="G107" s="35">
        <f>IFERROR(INDEX(Produits!$E:$E,MATCH(B107,Produits!$A:$A,0)),0)</f>
        <v/>
      </c>
      <c r="H107" s="32">
        <f>ROUND(D107*E107*(1-F107),2)</f>
        <v/>
      </c>
      <c r="I107" s="32">
        <f>ROUND(H107*G107,2)</f>
        <v/>
      </c>
    </row>
    <row r="108">
      <c r="A108" s="30" t="inlineStr">
        <is>
          <t>FA-2026-0033</t>
        </is>
      </c>
      <c r="B108" s="30" t="inlineStr">
        <is>
          <t>OL-V</t>
        </is>
      </c>
      <c r="C108" s="30">
        <f>IFERROR(INDEX(Produits!$B:$B,MATCH(B108,Produits!$A:$A,0)),"Réf inconnue")</f>
        <v/>
      </c>
      <c r="D108" s="30" t="n">
        <v>12</v>
      </c>
      <c r="E108" s="32">
        <f>IFERROR(INDEX(Produits!$D:$D,MATCH(B108,Produits!$A:$A,0)),0)</f>
        <v/>
      </c>
      <c r="F108" s="34" t="n">
        <v>0</v>
      </c>
      <c r="G108" s="35">
        <f>IFERROR(INDEX(Produits!$E:$E,MATCH(B108,Produits!$A:$A,0)),0)</f>
        <v/>
      </c>
      <c r="H108" s="32">
        <f>ROUND(D108*E108*(1-F108),2)</f>
        <v/>
      </c>
      <c r="I108" s="32">
        <f>ROUND(H108*G108,2)</f>
        <v/>
      </c>
    </row>
    <row r="109">
      <c r="A109" s="30" t="inlineStr">
        <is>
          <t>FA-2026-0033</t>
        </is>
      </c>
      <c r="B109" s="30" t="inlineStr">
        <is>
          <t>SV-O</t>
        </is>
      </c>
      <c r="C109" s="30">
        <f>IFERROR(INDEX(Produits!$B:$B,MATCH(B109,Produits!$A:$A,0)),"Réf inconnue")</f>
        <v/>
      </c>
      <c r="D109" s="30" t="n">
        <v>11</v>
      </c>
      <c r="E109" s="32">
        <f>IFERROR(INDEX(Produits!$D:$D,MATCH(B109,Produits!$A:$A,0)),0)</f>
        <v/>
      </c>
      <c r="F109" s="34" t="n">
        <v>0</v>
      </c>
      <c r="G109" s="35">
        <f>IFERROR(INDEX(Produits!$E:$E,MATCH(B109,Produits!$A:$A,0)),0)</f>
        <v/>
      </c>
      <c r="H109" s="32">
        <f>ROUND(D109*E109*(1-F109),2)</f>
        <v/>
      </c>
      <c r="I109" s="32">
        <f>ROUND(H109*G109,2)</f>
        <v/>
      </c>
    </row>
    <row r="110">
      <c r="A110" s="30" t="inlineStr">
        <is>
          <t>FA-2026-0033</t>
        </is>
      </c>
      <c r="B110" s="30" t="inlineStr">
        <is>
          <t>HO-5</t>
        </is>
      </c>
      <c r="C110" s="30">
        <f>IFERROR(INDEX(Produits!$B:$B,MATCH(B110,Produits!$A:$A,0)),"Réf inconnue")</f>
        <v/>
      </c>
      <c r="D110" s="30" t="n">
        <v>10</v>
      </c>
      <c r="E110" s="32">
        <f>IFERROR(INDEX(Produits!$D:$D,MATCH(B110,Produits!$A:$A,0)),0)</f>
        <v/>
      </c>
      <c r="F110" s="34" t="n">
        <v>0</v>
      </c>
      <c r="G110" s="35">
        <f>IFERROR(INDEX(Produits!$E:$E,MATCH(B110,Produits!$A:$A,0)),0)</f>
        <v/>
      </c>
      <c r="H110" s="32">
        <f>ROUND(D110*E110*(1-F110),2)</f>
        <v/>
      </c>
      <c r="I110" s="32">
        <f>ROUND(H110*G110,2)</f>
        <v/>
      </c>
    </row>
    <row r="111">
      <c r="A111" s="30" t="inlineStr">
        <is>
          <t>FA-2026-0033</t>
        </is>
      </c>
      <c r="B111" s="30" t="inlineStr">
        <is>
          <t>HO-T3</t>
        </is>
      </c>
      <c r="C111" s="30">
        <f>IFERROR(INDEX(Produits!$B:$B,MATCH(B111,Produits!$A:$A,0)),"Réf inconnue")</f>
        <v/>
      </c>
      <c r="D111" s="30" t="n">
        <v>19</v>
      </c>
      <c r="E111" s="32">
        <f>IFERROR(INDEX(Produits!$D:$D,MATCH(B111,Produits!$A:$A,0)),0)</f>
        <v/>
      </c>
      <c r="F111" s="34" t="n">
        <v>0</v>
      </c>
      <c r="G111" s="35">
        <f>IFERROR(INDEX(Produits!$E:$E,MATCH(B111,Produits!$A:$A,0)),0)</f>
        <v/>
      </c>
      <c r="H111" s="32">
        <f>ROUND(D111*E111*(1-F111),2)</f>
        <v/>
      </c>
      <c r="I111" s="32">
        <f>ROUND(H111*G111,2)</f>
        <v/>
      </c>
    </row>
    <row r="112">
      <c r="A112" s="30" t="inlineStr">
        <is>
          <t>FA-2026-0034</t>
        </is>
      </c>
      <c r="B112" s="30" t="inlineStr">
        <is>
          <t>HO-1</t>
        </is>
      </c>
      <c r="C112" s="30">
        <f>IFERROR(INDEX(Produits!$B:$B,MATCH(B112,Produits!$A:$A,0)),"Réf inconnue")</f>
        <v/>
      </c>
      <c r="D112" s="30" t="n">
        <v>16</v>
      </c>
      <c r="E112" s="32">
        <f>IFERROR(INDEX(Produits!$D:$D,MATCH(B112,Produits!$A:$A,0)),0)</f>
        <v/>
      </c>
      <c r="F112" s="34" t="n">
        <v>0</v>
      </c>
      <c r="G112" s="35">
        <f>IFERROR(INDEX(Produits!$E:$E,MATCH(B112,Produits!$A:$A,0)),0)</f>
        <v/>
      </c>
      <c r="H112" s="32">
        <f>ROUND(D112*E112*(1-F112),2)</f>
        <v/>
      </c>
      <c r="I112" s="32">
        <f>ROUND(H112*G112,2)</f>
        <v/>
      </c>
    </row>
    <row r="113">
      <c r="A113" s="30" t="inlineStr">
        <is>
          <t>FA-2026-0034</t>
        </is>
      </c>
      <c r="B113" s="30" t="inlineStr">
        <is>
          <t>OL-N</t>
        </is>
      </c>
      <c r="C113" s="30">
        <f>IFERROR(INDEX(Produits!$B:$B,MATCH(B113,Produits!$A:$A,0)),"Réf inconnue")</f>
        <v/>
      </c>
      <c r="D113" s="30" t="n">
        <v>3</v>
      </c>
      <c r="E113" s="32">
        <f>IFERROR(INDEX(Produits!$D:$D,MATCH(B113,Produits!$A:$A,0)),0)</f>
        <v/>
      </c>
      <c r="F113" s="34" t="n">
        <v>0</v>
      </c>
      <c r="G113" s="35">
        <f>IFERROR(INDEX(Produits!$E:$E,MATCH(B113,Produits!$A:$A,0)),0)</f>
        <v/>
      </c>
      <c r="H113" s="32">
        <f>ROUND(D113*E113*(1-F113),2)</f>
        <v/>
      </c>
      <c r="I113" s="32">
        <f>ROUND(H113*G113,2)</f>
        <v/>
      </c>
    </row>
    <row r="114">
      <c r="A114" s="30" t="inlineStr">
        <is>
          <t>FA-2026-0035</t>
        </is>
      </c>
      <c r="B114" s="30" t="inlineStr">
        <is>
          <t>HO-1</t>
        </is>
      </c>
      <c r="C114" s="30">
        <f>IFERROR(INDEX(Produits!$B:$B,MATCH(B114,Produits!$A:$A,0)),"Réf inconnue")</f>
        <v/>
      </c>
      <c r="D114" s="30" t="n">
        <v>26</v>
      </c>
      <c r="E114" s="32">
        <f>IFERROR(INDEX(Produits!$D:$D,MATCH(B114,Produits!$A:$A,0)),0)</f>
        <v/>
      </c>
      <c r="F114" s="34" t="n">
        <v>0</v>
      </c>
      <c r="G114" s="35">
        <f>IFERROR(INDEX(Produits!$E:$E,MATCH(B114,Produits!$A:$A,0)),0)</f>
        <v/>
      </c>
      <c r="H114" s="32">
        <f>ROUND(D114*E114*(1-F114),2)</f>
        <v/>
      </c>
      <c r="I114" s="32">
        <f>ROUND(H114*G114,2)</f>
        <v/>
      </c>
    </row>
    <row r="115">
      <c r="A115" s="30" t="inlineStr">
        <is>
          <t>FA-2026-0035</t>
        </is>
      </c>
      <c r="B115" s="30" t="inlineStr">
        <is>
          <t>TP-O</t>
        </is>
      </c>
      <c r="C115" s="30">
        <f>IFERROR(INDEX(Produits!$B:$B,MATCH(B115,Produits!$A:$A,0)),"Réf inconnue")</f>
        <v/>
      </c>
      <c r="D115" s="30" t="n">
        <v>27</v>
      </c>
      <c r="E115" s="32">
        <f>IFERROR(INDEX(Produits!$D:$D,MATCH(B115,Produits!$A:$A,0)),0)</f>
        <v/>
      </c>
      <c r="F115" s="34" t="n">
        <v>0</v>
      </c>
      <c r="G115" s="35">
        <f>IFERROR(INDEX(Produits!$E:$E,MATCH(B115,Produits!$A:$A,0)),0)</f>
        <v/>
      </c>
      <c r="H115" s="32">
        <f>ROUND(D115*E115*(1-F115),2)</f>
        <v/>
      </c>
      <c r="I115" s="32">
        <f>ROUND(H115*G115,2)</f>
        <v/>
      </c>
    </row>
    <row r="116">
      <c r="A116" s="30" t="inlineStr">
        <is>
          <t>FA-2026-0035</t>
        </is>
      </c>
      <c r="B116" s="30" t="inlineStr">
        <is>
          <t>HO-T3</t>
        </is>
      </c>
      <c r="C116" s="30">
        <f>IFERROR(INDEX(Produits!$B:$B,MATCH(B116,Produits!$A:$A,0)),"Réf inconnue")</f>
        <v/>
      </c>
      <c r="D116" s="30" t="n">
        <v>32</v>
      </c>
      <c r="E116" s="32">
        <f>IFERROR(INDEX(Produits!$D:$D,MATCH(B116,Produits!$A:$A,0)),0)</f>
        <v/>
      </c>
      <c r="F116" s="34" t="n">
        <v>0</v>
      </c>
      <c r="G116" s="35">
        <f>IFERROR(INDEX(Produits!$E:$E,MATCH(B116,Produits!$A:$A,0)),0)</f>
        <v/>
      </c>
      <c r="H116" s="32">
        <f>ROUND(D116*E116*(1-F116),2)</f>
        <v/>
      </c>
      <c r="I116" s="32">
        <f>ROUND(H116*G116,2)</f>
        <v/>
      </c>
    </row>
    <row r="117">
      <c r="A117" s="30" t="inlineStr">
        <is>
          <t>FA-2026-0035</t>
        </is>
      </c>
      <c r="B117" s="30" t="inlineStr">
        <is>
          <t>CF-D</t>
        </is>
      </c>
      <c r="C117" s="30">
        <f>IFERROR(INDEX(Produits!$B:$B,MATCH(B117,Produits!$A:$A,0)),"Réf inconnue")</f>
        <v/>
      </c>
      <c r="D117" s="30" t="n">
        <v>2</v>
      </c>
      <c r="E117" s="32">
        <f>IFERROR(INDEX(Produits!$D:$D,MATCH(B117,Produits!$A:$A,0)),0)</f>
        <v/>
      </c>
      <c r="F117" s="34" t="n">
        <v>0</v>
      </c>
      <c r="G117" s="35">
        <f>IFERROR(INDEX(Produits!$E:$E,MATCH(B117,Produits!$A:$A,0)),0)</f>
        <v/>
      </c>
      <c r="H117" s="32">
        <f>ROUND(D117*E117*(1-F117),2)</f>
        <v/>
      </c>
      <c r="I117" s="32">
        <f>ROUND(H117*G117,2)</f>
        <v/>
      </c>
    </row>
    <row r="118">
      <c r="A118" s="30" t="inlineStr">
        <is>
          <t>FA-2026-0035</t>
        </is>
      </c>
      <c r="B118" s="30" t="inlineStr">
        <is>
          <t>OL-V</t>
        </is>
      </c>
      <c r="C118" s="30">
        <f>IFERROR(INDEX(Produits!$B:$B,MATCH(B118,Produits!$A:$A,0)),"Réf inconnue")</f>
        <v/>
      </c>
      <c r="D118" s="30" t="n">
        <v>25</v>
      </c>
      <c r="E118" s="32">
        <f>IFERROR(INDEX(Produits!$D:$D,MATCH(B118,Produits!$A:$A,0)),0)</f>
        <v/>
      </c>
      <c r="F118" s="34" t="n">
        <v>0</v>
      </c>
      <c r="G118" s="35">
        <f>IFERROR(INDEX(Produits!$E:$E,MATCH(B118,Produits!$A:$A,0)),0)</f>
        <v/>
      </c>
      <c r="H118" s="32">
        <f>ROUND(D118*E118*(1-F118),2)</f>
        <v/>
      </c>
      <c r="I118" s="32">
        <f>ROUND(H118*G118,2)</f>
        <v/>
      </c>
    </row>
    <row r="119">
      <c r="A119" s="30" t="inlineStr">
        <is>
          <t>FA-2026-0036</t>
        </is>
      </c>
      <c r="B119" s="30" t="inlineStr">
        <is>
          <t>HO-1</t>
        </is>
      </c>
      <c r="C119" s="30">
        <f>IFERROR(INDEX(Produits!$B:$B,MATCH(B119,Produits!$A:$A,0)),"Réf inconnue")</f>
        <v/>
      </c>
      <c r="D119" s="30" t="n">
        <v>15</v>
      </c>
      <c r="E119" s="32">
        <f>IFERROR(INDEX(Produits!$D:$D,MATCH(B119,Produits!$A:$A,0)),0)</f>
        <v/>
      </c>
      <c r="F119" s="34" t="n">
        <v>0</v>
      </c>
      <c r="G119" s="35">
        <f>IFERROR(INDEX(Produits!$E:$E,MATCH(B119,Produits!$A:$A,0)),0)</f>
        <v/>
      </c>
      <c r="H119" s="32">
        <f>ROUND(D119*E119*(1-F119),2)</f>
        <v/>
      </c>
      <c r="I119" s="32">
        <f>ROUND(H119*G119,2)</f>
        <v/>
      </c>
    </row>
    <row r="120">
      <c r="A120" s="30" t="inlineStr">
        <is>
          <t>FA-2026-0036</t>
        </is>
      </c>
      <c r="B120" s="30" t="inlineStr">
        <is>
          <t>HO-05</t>
        </is>
      </c>
      <c r="C120" s="30">
        <f>IFERROR(INDEX(Produits!$B:$B,MATCH(B120,Produits!$A:$A,0)),"Réf inconnue")</f>
        <v/>
      </c>
      <c r="D120" s="30" t="n">
        <v>36</v>
      </c>
      <c r="E120" s="32">
        <f>IFERROR(INDEX(Produits!$D:$D,MATCH(B120,Produits!$A:$A,0)),0)</f>
        <v/>
      </c>
      <c r="F120" s="34" t="n">
        <v>0</v>
      </c>
      <c r="G120" s="35">
        <f>IFERROR(INDEX(Produits!$E:$E,MATCH(B120,Produits!$A:$A,0)),0)</f>
        <v/>
      </c>
      <c r="H120" s="32">
        <f>ROUND(D120*E120*(1-F120),2)</f>
        <v/>
      </c>
      <c r="I120" s="32">
        <f>ROUND(H120*G120,2)</f>
        <v/>
      </c>
    </row>
    <row r="121">
      <c r="A121" s="30" t="inlineStr">
        <is>
          <t>FA-2026-0037</t>
        </is>
      </c>
      <c r="B121" s="30" t="inlineStr">
        <is>
          <t>OL-V</t>
        </is>
      </c>
      <c r="C121" s="30">
        <f>IFERROR(INDEX(Produits!$B:$B,MATCH(B121,Produits!$A:$A,0)),"Réf inconnue")</f>
        <v/>
      </c>
      <c r="D121" s="30" t="n">
        <v>29</v>
      </c>
      <c r="E121" s="32">
        <f>IFERROR(INDEX(Produits!$D:$D,MATCH(B121,Produits!$A:$A,0)),0)</f>
        <v/>
      </c>
      <c r="F121" s="34" t="n">
        <v>0</v>
      </c>
      <c r="G121" s="35">
        <f>IFERROR(INDEX(Produits!$E:$E,MATCH(B121,Produits!$A:$A,0)),0)</f>
        <v/>
      </c>
      <c r="H121" s="32">
        <f>ROUND(D121*E121*(1-F121),2)</f>
        <v/>
      </c>
      <c r="I121" s="32">
        <f>ROUND(H121*G121,2)</f>
        <v/>
      </c>
    </row>
    <row r="122">
      <c r="A122" s="30" t="inlineStr">
        <is>
          <t>FA-2026-0037</t>
        </is>
      </c>
      <c r="B122" s="30" t="inlineStr">
        <is>
          <t>HO-05</t>
        </is>
      </c>
      <c r="C122" s="30">
        <f>IFERROR(INDEX(Produits!$B:$B,MATCH(B122,Produits!$A:$A,0)),"Réf inconnue")</f>
        <v/>
      </c>
      <c r="D122" s="30" t="n">
        <v>59</v>
      </c>
      <c r="E122" s="32">
        <f>IFERROR(INDEX(Produits!$D:$D,MATCH(B122,Produits!$A:$A,0)),0)</f>
        <v/>
      </c>
      <c r="F122" s="34" t="n">
        <v>0</v>
      </c>
      <c r="G122" s="35">
        <f>IFERROR(INDEX(Produits!$E:$E,MATCH(B122,Produits!$A:$A,0)),0)</f>
        <v/>
      </c>
      <c r="H122" s="32">
        <f>ROUND(D122*E122*(1-F122),2)</f>
        <v/>
      </c>
      <c r="I122" s="32">
        <f>ROUND(H122*G122,2)</f>
        <v/>
      </c>
    </row>
    <row r="123">
      <c r="A123" s="30" t="inlineStr">
        <is>
          <t>FA-2026-0037</t>
        </is>
      </c>
      <c r="B123" s="30" t="inlineStr">
        <is>
          <t>HO-T3</t>
        </is>
      </c>
      <c r="C123" s="30">
        <f>IFERROR(INDEX(Produits!$B:$B,MATCH(B123,Produits!$A:$A,0)),"Réf inconnue")</f>
        <v/>
      </c>
      <c r="D123" s="30" t="n">
        <v>72</v>
      </c>
      <c r="E123" s="32">
        <f>IFERROR(INDEX(Produits!$D:$D,MATCH(B123,Produits!$A:$A,0)),0)</f>
        <v/>
      </c>
      <c r="F123" s="34" t="n">
        <v>0.03</v>
      </c>
      <c r="G123" s="35">
        <f>IFERROR(INDEX(Produits!$E:$E,MATCH(B123,Produits!$A:$A,0)),0)</f>
        <v/>
      </c>
      <c r="H123" s="32">
        <f>ROUND(D123*E123*(1-F123),2)</f>
        <v/>
      </c>
      <c r="I123" s="32">
        <f>ROUND(H123*G123,2)</f>
        <v/>
      </c>
    </row>
    <row r="124">
      <c r="A124" s="30" t="inlineStr">
        <is>
          <t>FA-2026-0037</t>
        </is>
      </c>
      <c r="B124" s="30" t="inlineStr">
        <is>
          <t>CF-P</t>
        </is>
      </c>
      <c r="C124" s="30">
        <f>IFERROR(INDEX(Produits!$B:$B,MATCH(B124,Produits!$A:$A,0)),"Réf inconnue")</f>
        <v/>
      </c>
      <c r="D124" s="30" t="n">
        <v>10</v>
      </c>
      <c r="E124" s="32">
        <f>IFERROR(INDEX(Produits!$D:$D,MATCH(B124,Produits!$A:$A,0)),0)</f>
        <v/>
      </c>
      <c r="F124" s="34" t="n">
        <v>0</v>
      </c>
      <c r="G124" s="35">
        <f>IFERROR(INDEX(Produits!$E:$E,MATCH(B124,Produits!$A:$A,0)),0)</f>
        <v/>
      </c>
      <c r="H124" s="32">
        <f>ROUND(D124*E124*(1-F124),2)</f>
        <v/>
      </c>
      <c r="I124" s="32">
        <f>ROUND(H124*G124,2)</f>
        <v/>
      </c>
    </row>
    <row r="125">
      <c r="A125" s="30" t="inlineStr">
        <is>
          <t>FA-2026-0038</t>
        </is>
      </c>
      <c r="B125" s="30" t="inlineStr">
        <is>
          <t>HO-1</t>
        </is>
      </c>
      <c r="C125" s="30">
        <f>IFERROR(INDEX(Produits!$B:$B,MATCH(B125,Produits!$A:$A,0)),"Réf inconnue")</f>
        <v/>
      </c>
      <c r="D125" s="30" t="n">
        <v>64</v>
      </c>
      <c r="E125" s="32">
        <f>IFERROR(INDEX(Produits!$D:$D,MATCH(B125,Produits!$A:$A,0)),0)</f>
        <v/>
      </c>
      <c r="F125" s="34" t="n">
        <v>0</v>
      </c>
      <c r="G125" s="35">
        <f>IFERROR(INDEX(Produits!$E:$E,MATCH(B125,Produits!$A:$A,0)),0)</f>
        <v/>
      </c>
      <c r="H125" s="32">
        <f>ROUND(D125*E125*(1-F125),2)</f>
        <v/>
      </c>
      <c r="I125" s="32">
        <f>ROUND(H125*G125,2)</f>
        <v/>
      </c>
    </row>
    <row r="126">
      <c r="A126" s="30" t="inlineStr">
        <is>
          <t>FA-2026-0038</t>
        </is>
      </c>
      <c r="B126" s="30" t="inlineStr">
        <is>
          <t>TP-O</t>
        </is>
      </c>
      <c r="C126" s="30">
        <f>IFERROR(INDEX(Produits!$B:$B,MATCH(B126,Produits!$A:$A,0)),"Réf inconnue")</f>
        <v/>
      </c>
      <c r="D126" s="30" t="n">
        <v>97</v>
      </c>
      <c r="E126" s="32">
        <f>IFERROR(INDEX(Produits!$D:$D,MATCH(B126,Produits!$A:$A,0)),0)</f>
        <v/>
      </c>
      <c r="F126" s="34" t="n">
        <v>0</v>
      </c>
      <c r="G126" s="35">
        <f>IFERROR(INDEX(Produits!$E:$E,MATCH(B126,Produits!$A:$A,0)),0)</f>
        <v/>
      </c>
      <c r="H126" s="32">
        <f>ROUND(D126*E126*(1-F126),2)</f>
        <v/>
      </c>
      <c r="I126" s="32">
        <f>ROUND(H126*G126,2)</f>
        <v/>
      </c>
    </row>
    <row r="127">
      <c r="A127" s="30" t="inlineStr">
        <is>
          <t>FA-2026-0039</t>
        </is>
      </c>
      <c r="B127" s="30" t="inlineStr">
        <is>
          <t>TP-O</t>
        </is>
      </c>
      <c r="C127" s="30">
        <f>IFERROR(INDEX(Produits!$B:$B,MATCH(B127,Produits!$A:$A,0)),"Réf inconnue")</f>
        <v/>
      </c>
      <c r="D127" s="30" t="n">
        <v>21</v>
      </c>
      <c r="E127" s="32">
        <f>IFERROR(INDEX(Produits!$D:$D,MATCH(B127,Produits!$A:$A,0)),0)</f>
        <v/>
      </c>
      <c r="F127" s="34" t="n">
        <v>0.03</v>
      </c>
      <c r="G127" s="35">
        <f>IFERROR(INDEX(Produits!$E:$E,MATCH(B127,Produits!$A:$A,0)),0)</f>
        <v/>
      </c>
      <c r="H127" s="32">
        <f>ROUND(D127*E127*(1-F127),2)</f>
        <v/>
      </c>
      <c r="I127" s="32">
        <f>ROUND(H127*G127,2)</f>
        <v/>
      </c>
    </row>
    <row r="128">
      <c r="A128" s="30" t="inlineStr">
        <is>
          <t>FA-2026-0039</t>
        </is>
      </c>
      <c r="B128" s="30" t="inlineStr">
        <is>
          <t>OL-V</t>
        </is>
      </c>
      <c r="C128" s="30">
        <f>IFERROR(INDEX(Produits!$B:$B,MATCH(B128,Produits!$A:$A,0)),"Réf inconnue")</f>
        <v/>
      </c>
      <c r="D128" s="30" t="n">
        <v>52</v>
      </c>
      <c r="E128" s="32">
        <f>IFERROR(INDEX(Produits!$D:$D,MATCH(B128,Produits!$A:$A,0)),0)</f>
        <v/>
      </c>
      <c r="F128" s="34" t="n">
        <v>0</v>
      </c>
      <c r="G128" s="35">
        <f>IFERROR(INDEX(Produits!$E:$E,MATCH(B128,Produits!$A:$A,0)),0)</f>
        <v/>
      </c>
      <c r="H128" s="32">
        <f>ROUND(D128*E128*(1-F128),2)</f>
        <v/>
      </c>
      <c r="I128" s="32">
        <f>ROUND(H128*G128,2)</f>
        <v/>
      </c>
    </row>
    <row r="129">
      <c r="A129" s="30" t="inlineStr">
        <is>
          <t>FA-2026-0040</t>
        </is>
      </c>
      <c r="B129" s="30" t="inlineStr">
        <is>
          <t>HO-5</t>
        </is>
      </c>
      <c r="C129" s="30">
        <f>IFERROR(INDEX(Produits!$B:$B,MATCH(B129,Produits!$A:$A,0)),"Réf inconnue")</f>
        <v/>
      </c>
      <c r="D129" s="30" t="n">
        <v>8</v>
      </c>
      <c r="E129" s="32">
        <f>IFERROR(INDEX(Produits!$D:$D,MATCH(B129,Produits!$A:$A,0)),0)</f>
        <v/>
      </c>
      <c r="F129" s="34" t="n">
        <v>0</v>
      </c>
      <c r="G129" s="35">
        <f>IFERROR(INDEX(Produits!$E:$E,MATCH(B129,Produits!$A:$A,0)),0)</f>
        <v/>
      </c>
      <c r="H129" s="32">
        <f>ROUND(D129*E129*(1-F129),2)</f>
        <v/>
      </c>
      <c r="I129" s="32">
        <f>ROUND(H129*G129,2)</f>
        <v/>
      </c>
    </row>
    <row r="130">
      <c r="A130" s="30" t="inlineStr">
        <is>
          <t>FA-2026-0040</t>
        </is>
      </c>
      <c r="B130" s="30" t="inlineStr">
        <is>
          <t>HO-T3</t>
        </is>
      </c>
      <c r="C130" s="30">
        <f>IFERROR(INDEX(Produits!$B:$B,MATCH(B130,Produits!$A:$A,0)),"Réf inconnue")</f>
        <v/>
      </c>
      <c r="D130" s="30" t="n">
        <v>20</v>
      </c>
      <c r="E130" s="32">
        <f>IFERROR(INDEX(Produits!$D:$D,MATCH(B130,Produits!$A:$A,0)),0)</f>
        <v/>
      </c>
      <c r="F130" s="34" t="n">
        <v>0</v>
      </c>
      <c r="G130" s="35">
        <f>IFERROR(INDEX(Produits!$E:$E,MATCH(B130,Produits!$A:$A,0)),0)</f>
        <v/>
      </c>
      <c r="H130" s="32">
        <f>ROUND(D130*E130*(1-F130),2)</f>
        <v/>
      </c>
      <c r="I130" s="32">
        <f>ROUND(H130*G130,2)</f>
        <v/>
      </c>
    </row>
    <row r="131">
      <c r="A131" s="30" t="inlineStr">
        <is>
          <t>FA-2026-0040</t>
        </is>
      </c>
      <c r="B131" s="30" t="inlineStr">
        <is>
          <t>HO-1</t>
        </is>
      </c>
      <c r="C131" s="30">
        <f>IFERROR(INDEX(Produits!$B:$B,MATCH(B131,Produits!$A:$A,0)),"Réf inconnue")</f>
        <v/>
      </c>
      <c r="D131" s="30" t="n">
        <v>18</v>
      </c>
      <c r="E131" s="32">
        <f>IFERROR(INDEX(Produits!$D:$D,MATCH(B131,Produits!$A:$A,0)),0)</f>
        <v/>
      </c>
      <c r="F131" s="34" t="n">
        <v>0</v>
      </c>
      <c r="G131" s="35">
        <f>IFERROR(INDEX(Produits!$E:$E,MATCH(B131,Produits!$A:$A,0)),0)</f>
        <v/>
      </c>
      <c r="H131" s="32">
        <f>ROUND(D131*E131*(1-F131),2)</f>
        <v/>
      </c>
      <c r="I131" s="32">
        <f>ROUND(H131*G131,2)</f>
        <v/>
      </c>
    </row>
    <row r="132">
      <c r="A132" s="30" t="inlineStr">
        <is>
          <t>FA-2026-0040</t>
        </is>
      </c>
      <c r="B132" s="30" t="inlineStr">
        <is>
          <t>OL-N</t>
        </is>
      </c>
      <c r="C132" s="30">
        <f>IFERROR(INDEX(Produits!$B:$B,MATCH(B132,Produits!$A:$A,0)),"Réf inconnue")</f>
        <v/>
      </c>
      <c r="D132" s="30" t="n">
        <v>12</v>
      </c>
      <c r="E132" s="32">
        <f>IFERROR(INDEX(Produits!$D:$D,MATCH(B132,Produits!$A:$A,0)),0)</f>
        <v/>
      </c>
      <c r="F132" s="34" t="n">
        <v>0</v>
      </c>
      <c r="G132" s="35">
        <f>IFERROR(INDEX(Produits!$E:$E,MATCH(B132,Produits!$A:$A,0)),0)</f>
        <v/>
      </c>
      <c r="H132" s="32">
        <f>ROUND(D132*E132*(1-F132),2)</f>
        <v/>
      </c>
      <c r="I132" s="32">
        <f>ROUND(H132*G132,2)</f>
        <v/>
      </c>
    </row>
    <row r="133">
      <c r="A133" s="30" t="inlineStr">
        <is>
          <t>FA-2026-0041</t>
        </is>
      </c>
      <c r="B133" s="30" t="inlineStr">
        <is>
          <t>OL-N</t>
        </is>
      </c>
      <c r="C133" s="30">
        <f>IFERROR(INDEX(Produits!$B:$B,MATCH(B133,Produits!$A:$A,0)),"Réf inconnue")</f>
        <v/>
      </c>
      <c r="D133" s="30" t="n">
        <v>26</v>
      </c>
      <c r="E133" s="32">
        <f>IFERROR(INDEX(Produits!$D:$D,MATCH(B133,Produits!$A:$A,0)),0)</f>
        <v/>
      </c>
      <c r="F133" s="34" t="n">
        <v>0</v>
      </c>
      <c r="G133" s="35">
        <f>IFERROR(INDEX(Produits!$E:$E,MATCH(B133,Produits!$A:$A,0)),0)</f>
        <v/>
      </c>
      <c r="H133" s="32">
        <f>ROUND(D133*E133*(1-F133),2)</f>
        <v/>
      </c>
      <c r="I133" s="32">
        <f>ROUND(H133*G133,2)</f>
        <v/>
      </c>
    </row>
    <row r="134">
      <c r="A134" s="30" t="inlineStr">
        <is>
          <t>FA-2026-0041</t>
        </is>
      </c>
      <c r="B134" s="30" t="inlineStr">
        <is>
          <t>TP-O</t>
        </is>
      </c>
      <c r="C134" s="30">
        <f>IFERROR(INDEX(Produits!$B:$B,MATCH(B134,Produits!$A:$A,0)),"Réf inconnue")</f>
        <v/>
      </c>
      <c r="D134" s="30" t="n">
        <v>31</v>
      </c>
      <c r="E134" s="32">
        <f>IFERROR(INDEX(Produits!$D:$D,MATCH(B134,Produits!$A:$A,0)),0)</f>
        <v/>
      </c>
      <c r="F134" s="34" t="n">
        <v>0</v>
      </c>
      <c r="G134" s="35">
        <f>IFERROR(INDEX(Produits!$E:$E,MATCH(B134,Produits!$A:$A,0)),0)</f>
        <v/>
      </c>
      <c r="H134" s="32">
        <f>ROUND(D134*E134*(1-F134),2)</f>
        <v/>
      </c>
      <c r="I134" s="32">
        <f>ROUND(H134*G134,2)</f>
        <v/>
      </c>
    </row>
    <row r="135">
      <c r="A135" s="30" t="inlineStr">
        <is>
          <t>FA-2026-0042</t>
        </is>
      </c>
      <c r="B135" s="30" t="inlineStr">
        <is>
          <t>HO-5</t>
        </is>
      </c>
      <c r="C135" s="30">
        <f>IFERROR(INDEX(Produits!$B:$B,MATCH(B135,Produits!$A:$A,0)),"Réf inconnue")</f>
        <v/>
      </c>
      <c r="D135" s="30" t="n">
        <v>59</v>
      </c>
      <c r="E135" s="32">
        <f>IFERROR(INDEX(Produits!$D:$D,MATCH(B135,Produits!$A:$A,0)),0)</f>
        <v/>
      </c>
      <c r="F135" s="34" t="n">
        <v>0.03</v>
      </c>
      <c r="G135" s="35">
        <f>IFERROR(INDEX(Produits!$E:$E,MATCH(B135,Produits!$A:$A,0)),0)</f>
        <v/>
      </c>
      <c r="H135" s="32">
        <f>ROUND(D135*E135*(1-F135),2)</f>
        <v/>
      </c>
      <c r="I135" s="32">
        <f>ROUND(H135*G135,2)</f>
        <v/>
      </c>
    </row>
    <row r="136">
      <c r="A136" s="30" t="inlineStr">
        <is>
          <t>FA-2026-0042</t>
        </is>
      </c>
      <c r="B136" s="30" t="inlineStr">
        <is>
          <t>OL-N</t>
        </is>
      </c>
      <c r="C136" s="30">
        <f>IFERROR(INDEX(Produits!$B:$B,MATCH(B136,Produits!$A:$A,0)),"Réf inconnue")</f>
        <v/>
      </c>
      <c r="D136" s="30" t="n">
        <v>94</v>
      </c>
      <c r="E136" s="32">
        <f>IFERROR(INDEX(Produits!$D:$D,MATCH(B136,Produits!$A:$A,0)),0)</f>
        <v/>
      </c>
      <c r="F136" s="34" t="n">
        <v>0</v>
      </c>
      <c r="G136" s="35">
        <f>IFERROR(INDEX(Produits!$E:$E,MATCH(B136,Produits!$A:$A,0)),0)</f>
        <v/>
      </c>
      <c r="H136" s="32">
        <f>ROUND(D136*E136*(1-F136),2)</f>
        <v/>
      </c>
      <c r="I136" s="32">
        <f>ROUND(H136*G136,2)</f>
        <v/>
      </c>
    </row>
    <row r="137">
      <c r="A137" s="30" t="inlineStr">
        <is>
          <t>FA-2026-0043</t>
        </is>
      </c>
      <c r="B137" s="30" t="inlineStr">
        <is>
          <t>CF-D</t>
        </is>
      </c>
      <c r="C137" s="30">
        <f>IFERROR(INDEX(Produits!$B:$B,MATCH(B137,Produits!$A:$A,0)),"Réf inconnue")</f>
        <v/>
      </c>
      <c r="D137" s="30" t="n">
        <v>11</v>
      </c>
      <c r="E137" s="32">
        <f>IFERROR(INDEX(Produits!$D:$D,MATCH(B137,Produits!$A:$A,0)),0)</f>
        <v/>
      </c>
      <c r="F137" s="34" t="n">
        <v>0.03</v>
      </c>
      <c r="G137" s="35">
        <f>IFERROR(INDEX(Produits!$E:$E,MATCH(B137,Produits!$A:$A,0)),0)</f>
        <v/>
      </c>
      <c r="H137" s="32">
        <f>ROUND(D137*E137*(1-F137),2)</f>
        <v/>
      </c>
      <c r="I137" s="32">
        <f>ROUND(H137*G137,2)</f>
        <v/>
      </c>
    </row>
    <row r="138">
      <c r="A138" s="30" t="inlineStr">
        <is>
          <t>FA-2026-0043</t>
        </is>
      </c>
      <c r="B138" s="30" t="inlineStr">
        <is>
          <t>CF-P</t>
        </is>
      </c>
      <c r="C138" s="30">
        <f>IFERROR(INDEX(Produits!$B:$B,MATCH(B138,Produits!$A:$A,0)),"Réf inconnue")</f>
        <v/>
      </c>
      <c r="D138" s="30" t="n">
        <v>4</v>
      </c>
      <c r="E138" s="32">
        <f>IFERROR(INDEX(Produits!$D:$D,MATCH(B138,Produits!$A:$A,0)),0)</f>
        <v/>
      </c>
      <c r="F138" s="34" t="n">
        <v>0.05</v>
      </c>
      <c r="G138" s="35">
        <f>IFERROR(INDEX(Produits!$E:$E,MATCH(B138,Produits!$A:$A,0)),0)</f>
        <v/>
      </c>
      <c r="H138" s="32">
        <f>ROUND(D138*E138*(1-F138),2)</f>
        <v/>
      </c>
      <c r="I138" s="32">
        <f>ROUND(H138*G138,2)</f>
        <v/>
      </c>
    </row>
    <row r="139">
      <c r="A139" s="30" t="inlineStr">
        <is>
          <t>FA-2026-0043</t>
        </is>
      </c>
      <c r="B139" s="30" t="inlineStr">
        <is>
          <t>OL-N</t>
        </is>
      </c>
      <c r="C139" s="30">
        <f>IFERROR(INDEX(Produits!$B:$B,MATCH(B139,Produits!$A:$A,0)),"Réf inconnue")</f>
        <v/>
      </c>
      <c r="D139" s="30" t="n">
        <v>71</v>
      </c>
      <c r="E139" s="32">
        <f>IFERROR(INDEX(Produits!$D:$D,MATCH(B139,Produits!$A:$A,0)),0)</f>
        <v/>
      </c>
      <c r="F139" s="34" t="n">
        <v>0</v>
      </c>
      <c r="G139" s="35">
        <f>IFERROR(INDEX(Produits!$E:$E,MATCH(B139,Produits!$A:$A,0)),0)</f>
        <v/>
      </c>
      <c r="H139" s="32">
        <f>ROUND(D139*E139*(1-F139),2)</f>
        <v/>
      </c>
      <c r="I139" s="32">
        <f>ROUND(H139*G139,2)</f>
        <v/>
      </c>
    </row>
    <row r="140">
      <c r="A140" s="30" t="inlineStr">
        <is>
          <t>FA-2026-0043</t>
        </is>
      </c>
      <c r="B140" s="30" t="inlineStr">
        <is>
          <t>HO-05</t>
        </is>
      </c>
      <c r="C140" s="30">
        <f>IFERROR(INDEX(Produits!$B:$B,MATCH(B140,Produits!$A:$A,0)),"Réf inconnue")</f>
        <v/>
      </c>
      <c r="D140" s="30" t="n">
        <v>14</v>
      </c>
      <c r="E140" s="32">
        <f>IFERROR(INDEX(Produits!$D:$D,MATCH(B140,Produits!$A:$A,0)),0)</f>
        <v/>
      </c>
      <c r="F140" s="34" t="n">
        <v>0</v>
      </c>
      <c r="G140" s="35">
        <f>IFERROR(INDEX(Produits!$E:$E,MATCH(B140,Produits!$A:$A,0)),0)</f>
        <v/>
      </c>
      <c r="H140" s="32">
        <f>ROUND(D140*E140*(1-F140),2)</f>
        <v/>
      </c>
      <c r="I140" s="32">
        <f>ROUND(H140*G140,2)</f>
        <v/>
      </c>
    </row>
    <row r="141">
      <c r="A141" s="30" t="inlineStr">
        <is>
          <t>FA-2026-0043</t>
        </is>
      </c>
      <c r="B141" s="30" t="inlineStr">
        <is>
          <t>SV-O</t>
        </is>
      </c>
      <c r="C141" s="30">
        <f>IFERROR(INDEX(Produits!$B:$B,MATCH(B141,Produits!$A:$A,0)),"Réf inconnue")</f>
        <v/>
      </c>
      <c r="D141" s="30" t="n">
        <v>37</v>
      </c>
      <c r="E141" s="32">
        <f>IFERROR(INDEX(Produits!$D:$D,MATCH(B141,Produits!$A:$A,0)),0)</f>
        <v/>
      </c>
      <c r="F141" s="34" t="n">
        <v>0</v>
      </c>
      <c r="G141" s="35">
        <f>IFERROR(INDEX(Produits!$E:$E,MATCH(B141,Produits!$A:$A,0)),0)</f>
        <v/>
      </c>
      <c r="H141" s="32">
        <f>ROUND(D141*E141*(1-F141),2)</f>
        <v/>
      </c>
      <c r="I141" s="32">
        <f>ROUND(H141*G141,2)</f>
        <v/>
      </c>
    </row>
    <row r="142">
      <c r="A142" s="30" t="inlineStr">
        <is>
          <t>FA-2026-0044</t>
        </is>
      </c>
      <c r="B142" s="30" t="inlineStr">
        <is>
          <t>CF-P</t>
        </is>
      </c>
      <c r="C142" s="30">
        <f>IFERROR(INDEX(Produits!$B:$B,MATCH(B142,Produits!$A:$A,0)),"Réf inconnue")</f>
        <v/>
      </c>
      <c r="D142" s="30" t="n">
        <v>4</v>
      </c>
      <c r="E142" s="32">
        <f>IFERROR(INDEX(Produits!$D:$D,MATCH(B142,Produits!$A:$A,0)),0)</f>
        <v/>
      </c>
      <c r="F142" s="34" t="n">
        <v>0.03</v>
      </c>
      <c r="G142" s="35">
        <f>IFERROR(INDEX(Produits!$E:$E,MATCH(B142,Produits!$A:$A,0)),0)</f>
        <v/>
      </c>
      <c r="H142" s="32">
        <f>ROUND(D142*E142*(1-F142),2)</f>
        <v/>
      </c>
      <c r="I142" s="32">
        <f>ROUND(H142*G142,2)</f>
        <v/>
      </c>
    </row>
    <row r="143">
      <c r="A143" s="30" t="inlineStr">
        <is>
          <t>FA-2026-0044</t>
        </is>
      </c>
      <c r="B143" s="30" t="inlineStr">
        <is>
          <t>OL-N</t>
        </is>
      </c>
      <c r="C143" s="30">
        <f>IFERROR(INDEX(Produits!$B:$B,MATCH(B143,Produits!$A:$A,0)),"Réf inconnue")</f>
        <v/>
      </c>
      <c r="D143" s="30" t="n">
        <v>40</v>
      </c>
      <c r="E143" s="32">
        <f>IFERROR(INDEX(Produits!$D:$D,MATCH(B143,Produits!$A:$A,0)),0)</f>
        <v/>
      </c>
      <c r="F143" s="34" t="n">
        <v>0</v>
      </c>
      <c r="G143" s="35">
        <f>IFERROR(INDEX(Produits!$E:$E,MATCH(B143,Produits!$A:$A,0)),0)</f>
        <v/>
      </c>
      <c r="H143" s="32">
        <f>ROUND(D143*E143*(1-F143),2)</f>
        <v/>
      </c>
      <c r="I143" s="32">
        <f>ROUND(H143*G143,2)</f>
        <v/>
      </c>
    </row>
    <row r="144">
      <c r="A144" s="30" t="inlineStr">
        <is>
          <t>FA-2026-0045</t>
        </is>
      </c>
      <c r="B144" s="30" t="inlineStr">
        <is>
          <t>CF-P</t>
        </is>
      </c>
      <c r="C144" s="30">
        <f>IFERROR(INDEX(Produits!$B:$B,MATCH(B144,Produits!$A:$A,0)),"Réf inconnue")</f>
        <v/>
      </c>
      <c r="D144" s="30" t="n">
        <v>14</v>
      </c>
      <c r="E144" s="32">
        <f>IFERROR(INDEX(Produits!$D:$D,MATCH(B144,Produits!$A:$A,0)),0)</f>
        <v/>
      </c>
      <c r="F144" s="34" t="n">
        <v>0.03</v>
      </c>
      <c r="G144" s="35">
        <f>IFERROR(INDEX(Produits!$E:$E,MATCH(B144,Produits!$A:$A,0)),0)</f>
        <v/>
      </c>
      <c r="H144" s="32">
        <f>ROUND(D144*E144*(1-F144),2)</f>
        <v/>
      </c>
      <c r="I144" s="32">
        <f>ROUND(H144*G144,2)</f>
        <v/>
      </c>
    </row>
    <row r="145">
      <c r="A145" s="30" t="inlineStr">
        <is>
          <t>FA-2026-0045</t>
        </is>
      </c>
      <c r="B145" s="30" t="inlineStr">
        <is>
          <t>OL-N</t>
        </is>
      </c>
      <c r="C145" s="30">
        <f>IFERROR(INDEX(Produits!$B:$B,MATCH(B145,Produits!$A:$A,0)),"Réf inconnue")</f>
        <v/>
      </c>
      <c r="D145" s="30" t="n">
        <v>37</v>
      </c>
      <c r="E145" s="32">
        <f>IFERROR(INDEX(Produits!$D:$D,MATCH(B145,Produits!$A:$A,0)),0)</f>
        <v/>
      </c>
      <c r="F145" s="34" t="n">
        <v>0.03</v>
      </c>
      <c r="G145" s="35">
        <f>IFERROR(INDEX(Produits!$E:$E,MATCH(B145,Produits!$A:$A,0)),0)</f>
        <v/>
      </c>
      <c r="H145" s="32">
        <f>ROUND(D145*E145*(1-F145),2)</f>
        <v/>
      </c>
      <c r="I145" s="32">
        <f>ROUND(H145*G145,2)</f>
        <v/>
      </c>
    </row>
    <row r="146">
      <c r="A146" s="30" t="inlineStr">
        <is>
          <t>FA-2026-0046</t>
        </is>
      </c>
      <c r="B146" s="30" t="inlineStr">
        <is>
          <t>OL-N</t>
        </is>
      </c>
      <c r="C146" s="30">
        <f>IFERROR(INDEX(Produits!$B:$B,MATCH(B146,Produits!$A:$A,0)),"Réf inconnue")</f>
        <v/>
      </c>
      <c r="D146" s="30" t="n">
        <v>14</v>
      </c>
      <c r="E146" s="32">
        <f>IFERROR(INDEX(Produits!$D:$D,MATCH(B146,Produits!$A:$A,0)),0)</f>
        <v/>
      </c>
      <c r="F146" s="34" t="n">
        <v>0.05</v>
      </c>
      <c r="G146" s="35">
        <f>IFERROR(INDEX(Produits!$E:$E,MATCH(B146,Produits!$A:$A,0)),0)</f>
        <v/>
      </c>
      <c r="H146" s="32">
        <f>ROUND(D146*E146*(1-F146),2)</f>
        <v/>
      </c>
      <c r="I146" s="32">
        <f>ROUND(H146*G146,2)</f>
        <v/>
      </c>
    </row>
    <row r="147">
      <c r="A147" s="30" t="inlineStr">
        <is>
          <t>FA-2026-0046</t>
        </is>
      </c>
      <c r="B147" s="30" t="inlineStr">
        <is>
          <t>TP-O</t>
        </is>
      </c>
      <c r="C147" s="30">
        <f>IFERROR(INDEX(Produits!$B:$B,MATCH(B147,Produits!$A:$A,0)),"Réf inconnue")</f>
        <v/>
      </c>
      <c r="D147" s="30" t="n">
        <v>50</v>
      </c>
      <c r="E147" s="32">
        <f>IFERROR(INDEX(Produits!$D:$D,MATCH(B147,Produits!$A:$A,0)),0)</f>
        <v/>
      </c>
      <c r="F147" s="34" t="n">
        <v>0</v>
      </c>
      <c r="G147" s="35">
        <f>IFERROR(INDEX(Produits!$E:$E,MATCH(B147,Produits!$A:$A,0)),0)</f>
        <v/>
      </c>
      <c r="H147" s="32">
        <f>ROUND(D147*E147*(1-F147),2)</f>
        <v/>
      </c>
      <c r="I147" s="32">
        <f>ROUND(H147*G147,2)</f>
        <v/>
      </c>
    </row>
    <row r="148">
      <c r="A148" s="30" t="inlineStr">
        <is>
          <t>FA-2026-0046</t>
        </is>
      </c>
      <c r="B148" s="30" t="inlineStr">
        <is>
          <t>HO-T3</t>
        </is>
      </c>
      <c r="C148" s="30">
        <f>IFERROR(INDEX(Produits!$B:$B,MATCH(B148,Produits!$A:$A,0)),"Réf inconnue")</f>
        <v/>
      </c>
      <c r="D148" s="30" t="n">
        <v>55</v>
      </c>
      <c r="E148" s="32">
        <f>IFERROR(INDEX(Produits!$D:$D,MATCH(B148,Produits!$A:$A,0)),0)</f>
        <v/>
      </c>
      <c r="F148" s="34" t="n">
        <v>0.05</v>
      </c>
      <c r="G148" s="35">
        <f>IFERROR(INDEX(Produits!$E:$E,MATCH(B148,Produits!$A:$A,0)),0)</f>
        <v/>
      </c>
      <c r="H148" s="32">
        <f>ROUND(D148*E148*(1-F148),2)</f>
        <v/>
      </c>
      <c r="I148" s="32">
        <f>ROUND(H148*G148,2)</f>
        <v/>
      </c>
    </row>
    <row r="149">
      <c r="A149" s="30" t="inlineStr">
        <is>
          <t>FA-2026-0046</t>
        </is>
      </c>
      <c r="B149" s="30" t="inlineStr">
        <is>
          <t>CF-D</t>
        </is>
      </c>
      <c r="C149" s="30">
        <f>IFERROR(INDEX(Produits!$B:$B,MATCH(B149,Produits!$A:$A,0)),"Réf inconnue")</f>
        <v/>
      </c>
      <c r="D149" s="30" t="n">
        <v>8</v>
      </c>
      <c r="E149" s="32">
        <f>IFERROR(INDEX(Produits!$D:$D,MATCH(B149,Produits!$A:$A,0)),0)</f>
        <v/>
      </c>
      <c r="F149" s="34" t="n">
        <v>0</v>
      </c>
      <c r="G149" s="35">
        <f>IFERROR(INDEX(Produits!$E:$E,MATCH(B149,Produits!$A:$A,0)),0)</f>
        <v/>
      </c>
      <c r="H149" s="32">
        <f>ROUND(D149*E149*(1-F149),2)</f>
        <v/>
      </c>
      <c r="I149" s="32">
        <f>ROUND(H149*G149,2)</f>
        <v/>
      </c>
    </row>
    <row r="150">
      <c r="A150" s="30" t="inlineStr">
        <is>
          <t>FA-2026-0047</t>
        </is>
      </c>
      <c r="B150" s="30" t="inlineStr">
        <is>
          <t>HO-T3</t>
        </is>
      </c>
      <c r="C150" s="30">
        <f>IFERROR(INDEX(Produits!$B:$B,MATCH(B150,Produits!$A:$A,0)),"Réf inconnue")</f>
        <v/>
      </c>
      <c r="D150" s="30" t="n">
        <v>5</v>
      </c>
      <c r="E150" s="32">
        <f>IFERROR(INDEX(Produits!$D:$D,MATCH(B150,Produits!$A:$A,0)),0)</f>
        <v/>
      </c>
      <c r="F150" s="34" t="n">
        <v>0</v>
      </c>
      <c r="G150" s="35">
        <f>IFERROR(INDEX(Produits!$E:$E,MATCH(B150,Produits!$A:$A,0)),0)</f>
        <v/>
      </c>
      <c r="H150" s="32">
        <f>ROUND(D150*E150*(1-F150),2)</f>
        <v/>
      </c>
      <c r="I150" s="32">
        <f>ROUND(H150*G150,2)</f>
        <v/>
      </c>
    </row>
    <row r="151">
      <c r="A151" s="30" t="inlineStr">
        <is>
          <t>FA-2026-0047</t>
        </is>
      </c>
      <c r="B151" s="30" t="inlineStr">
        <is>
          <t>HO-05</t>
        </is>
      </c>
      <c r="C151" s="30">
        <f>IFERROR(INDEX(Produits!$B:$B,MATCH(B151,Produits!$A:$A,0)),"Réf inconnue")</f>
        <v/>
      </c>
      <c r="D151" s="30" t="n">
        <v>13</v>
      </c>
      <c r="E151" s="32">
        <f>IFERROR(INDEX(Produits!$D:$D,MATCH(B151,Produits!$A:$A,0)),0)</f>
        <v/>
      </c>
      <c r="F151" s="34" t="n">
        <v>0</v>
      </c>
      <c r="G151" s="35">
        <f>IFERROR(INDEX(Produits!$E:$E,MATCH(B151,Produits!$A:$A,0)),0)</f>
        <v/>
      </c>
      <c r="H151" s="32">
        <f>ROUND(D151*E151*(1-F151),2)</f>
        <v/>
      </c>
      <c r="I151" s="32">
        <f>ROUND(H151*G151,2)</f>
        <v/>
      </c>
    </row>
    <row r="152">
      <c r="A152" s="30" t="inlineStr">
        <is>
          <t>FA-2026-0048</t>
        </is>
      </c>
      <c r="B152" s="30" t="inlineStr">
        <is>
          <t>TP-O</t>
        </is>
      </c>
      <c r="C152" s="30">
        <f>IFERROR(INDEX(Produits!$B:$B,MATCH(B152,Produits!$A:$A,0)),"Réf inconnue")</f>
        <v/>
      </c>
      <c r="D152" s="30" t="n">
        <v>20</v>
      </c>
      <c r="E152" s="32">
        <f>IFERROR(INDEX(Produits!$D:$D,MATCH(B152,Produits!$A:$A,0)),0)</f>
        <v/>
      </c>
      <c r="F152" s="34" t="n">
        <v>0</v>
      </c>
      <c r="G152" s="35">
        <f>IFERROR(INDEX(Produits!$E:$E,MATCH(B152,Produits!$A:$A,0)),0)</f>
        <v/>
      </c>
      <c r="H152" s="32">
        <f>ROUND(D152*E152*(1-F152),2)</f>
        <v/>
      </c>
      <c r="I152" s="32">
        <f>ROUND(H152*G152,2)</f>
        <v/>
      </c>
    </row>
    <row r="153">
      <c r="A153" s="30" t="inlineStr">
        <is>
          <t>FA-2026-0048</t>
        </is>
      </c>
      <c r="B153" s="30" t="inlineStr">
        <is>
          <t>SV-O</t>
        </is>
      </c>
      <c r="C153" s="30">
        <f>IFERROR(INDEX(Produits!$B:$B,MATCH(B153,Produits!$A:$A,0)),"Réf inconnue")</f>
        <v/>
      </c>
      <c r="D153" s="30" t="n">
        <v>15</v>
      </c>
      <c r="E153" s="32">
        <f>IFERROR(INDEX(Produits!$D:$D,MATCH(B153,Produits!$A:$A,0)),0)</f>
        <v/>
      </c>
      <c r="F153" s="34" t="n">
        <v>0</v>
      </c>
      <c r="G153" s="35">
        <f>IFERROR(INDEX(Produits!$E:$E,MATCH(B153,Produits!$A:$A,0)),0)</f>
        <v/>
      </c>
      <c r="H153" s="32">
        <f>ROUND(D153*E153*(1-F153),2)</f>
        <v/>
      </c>
      <c r="I153" s="32">
        <f>ROUND(H153*G153,2)</f>
        <v/>
      </c>
    </row>
    <row r="154">
      <c r="A154" s="30" t="inlineStr">
        <is>
          <t>FA-2026-0049</t>
        </is>
      </c>
      <c r="B154" s="30" t="inlineStr">
        <is>
          <t>SV-O</t>
        </is>
      </c>
      <c r="C154" s="30">
        <f>IFERROR(INDEX(Produits!$B:$B,MATCH(B154,Produits!$A:$A,0)),"Réf inconnue")</f>
        <v/>
      </c>
      <c r="D154" s="30" t="n">
        <v>20</v>
      </c>
      <c r="E154" s="32">
        <f>IFERROR(INDEX(Produits!$D:$D,MATCH(B154,Produits!$A:$A,0)),0)</f>
        <v/>
      </c>
      <c r="F154" s="34" t="n">
        <v>0</v>
      </c>
      <c r="G154" s="35">
        <f>IFERROR(INDEX(Produits!$E:$E,MATCH(B154,Produits!$A:$A,0)),0)</f>
        <v/>
      </c>
      <c r="H154" s="32">
        <f>ROUND(D154*E154*(1-F154),2)</f>
        <v/>
      </c>
      <c r="I154" s="32">
        <f>ROUND(H154*G154,2)</f>
        <v/>
      </c>
    </row>
    <row r="155">
      <c r="A155" s="30" t="inlineStr">
        <is>
          <t>FA-2026-0049</t>
        </is>
      </c>
      <c r="B155" s="30" t="inlineStr">
        <is>
          <t>HO-5</t>
        </is>
      </c>
      <c r="C155" s="30">
        <f>IFERROR(INDEX(Produits!$B:$B,MATCH(B155,Produits!$A:$A,0)),"Réf inconnue")</f>
        <v/>
      </c>
      <c r="D155" s="30" t="n">
        <v>9</v>
      </c>
      <c r="E155" s="32">
        <f>IFERROR(INDEX(Produits!$D:$D,MATCH(B155,Produits!$A:$A,0)),0)</f>
        <v/>
      </c>
      <c r="F155" s="34" t="n">
        <v>0</v>
      </c>
      <c r="G155" s="35">
        <f>IFERROR(INDEX(Produits!$E:$E,MATCH(B155,Produits!$A:$A,0)),0)</f>
        <v/>
      </c>
      <c r="H155" s="32">
        <f>ROUND(D155*E155*(1-F155),2)</f>
        <v/>
      </c>
      <c r="I155" s="32">
        <f>ROUND(H155*G155,2)</f>
        <v/>
      </c>
    </row>
    <row r="156">
      <c r="A156" s="30" t="inlineStr">
        <is>
          <t>FA-2026-0049</t>
        </is>
      </c>
      <c r="B156" s="30" t="inlineStr">
        <is>
          <t>CF-D</t>
        </is>
      </c>
      <c r="C156" s="30">
        <f>IFERROR(INDEX(Produits!$B:$B,MATCH(B156,Produits!$A:$A,0)),"Réf inconnue")</f>
        <v/>
      </c>
      <c r="D156" s="30" t="n">
        <v>4</v>
      </c>
      <c r="E156" s="32">
        <f>IFERROR(INDEX(Produits!$D:$D,MATCH(B156,Produits!$A:$A,0)),0)</f>
        <v/>
      </c>
      <c r="F156" s="34" t="n">
        <v>0</v>
      </c>
      <c r="G156" s="35">
        <f>IFERROR(INDEX(Produits!$E:$E,MATCH(B156,Produits!$A:$A,0)),0)</f>
        <v/>
      </c>
      <c r="H156" s="32">
        <f>ROUND(D156*E156*(1-F156),2)</f>
        <v/>
      </c>
      <c r="I156" s="32">
        <f>ROUND(H156*G156,2)</f>
        <v/>
      </c>
    </row>
    <row r="157">
      <c r="A157" s="30" t="inlineStr">
        <is>
          <t>FA-2026-0049</t>
        </is>
      </c>
      <c r="B157" s="30" t="inlineStr">
        <is>
          <t>HO-T3</t>
        </is>
      </c>
      <c r="C157" s="30">
        <f>IFERROR(INDEX(Produits!$B:$B,MATCH(B157,Produits!$A:$A,0)),"Réf inconnue")</f>
        <v/>
      </c>
      <c r="D157" s="30" t="n">
        <v>32</v>
      </c>
      <c r="E157" s="32">
        <f>IFERROR(INDEX(Produits!$D:$D,MATCH(B157,Produits!$A:$A,0)),0)</f>
        <v/>
      </c>
      <c r="F157" s="34" t="n">
        <v>0</v>
      </c>
      <c r="G157" s="35">
        <f>IFERROR(INDEX(Produits!$E:$E,MATCH(B157,Produits!$A:$A,0)),0)</f>
        <v/>
      </c>
      <c r="H157" s="32">
        <f>ROUND(D157*E157*(1-F157),2)</f>
        <v/>
      </c>
      <c r="I157" s="32">
        <f>ROUND(H157*G157,2)</f>
        <v/>
      </c>
    </row>
    <row r="158">
      <c r="A158" s="30" t="inlineStr">
        <is>
          <t>FA-2026-0050</t>
        </is>
      </c>
      <c r="B158" s="30" t="inlineStr">
        <is>
          <t>HO-1</t>
        </is>
      </c>
      <c r="C158" s="30">
        <f>IFERROR(INDEX(Produits!$B:$B,MATCH(B158,Produits!$A:$A,0)),"Réf inconnue")</f>
        <v/>
      </c>
      <c r="D158" s="30" t="n">
        <v>22</v>
      </c>
      <c r="E158" s="32">
        <f>IFERROR(INDEX(Produits!$D:$D,MATCH(B158,Produits!$A:$A,0)),0)</f>
        <v/>
      </c>
      <c r="F158" s="34" t="n">
        <v>0</v>
      </c>
      <c r="G158" s="35">
        <f>IFERROR(INDEX(Produits!$E:$E,MATCH(B158,Produits!$A:$A,0)),0)</f>
        <v/>
      </c>
      <c r="H158" s="32">
        <f>ROUND(D158*E158*(1-F158),2)</f>
        <v/>
      </c>
      <c r="I158" s="32">
        <f>ROUND(H158*G158,2)</f>
        <v/>
      </c>
    </row>
    <row r="159">
      <c r="A159" s="30" t="inlineStr">
        <is>
          <t>FA-2026-0050</t>
        </is>
      </c>
      <c r="B159" s="30" t="inlineStr">
        <is>
          <t>CF-P</t>
        </is>
      </c>
      <c r="C159" s="30">
        <f>IFERROR(INDEX(Produits!$B:$B,MATCH(B159,Produits!$A:$A,0)),"Réf inconnue")</f>
        <v/>
      </c>
      <c r="D159" s="30" t="n">
        <v>1</v>
      </c>
      <c r="E159" s="32">
        <f>IFERROR(INDEX(Produits!$D:$D,MATCH(B159,Produits!$A:$A,0)),0)</f>
        <v/>
      </c>
      <c r="F159" s="34" t="n">
        <v>0</v>
      </c>
      <c r="G159" s="35">
        <f>IFERROR(INDEX(Produits!$E:$E,MATCH(B159,Produits!$A:$A,0)),0)</f>
        <v/>
      </c>
      <c r="H159" s="32">
        <f>ROUND(D159*E159*(1-F159),2)</f>
        <v/>
      </c>
      <c r="I159" s="32">
        <f>ROUND(H159*G159,2)</f>
        <v/>
      </c>
    </row>
    <row r="160">
      <c r="A160" s="30" t="inlineStr">
        <is>
          <t>FA-2026-0050</t>
        </is>
      </c>
      <c r="B160" s="30" t="inlineStr">
        <is>
          <t>HO-5</t>
        </is>
      </c>
      <c r="C160" s="30">
        <f>IFERROR(INDEX(Produits!$B:$B,MATCH(B160,Produits!$A:$A,0)),"Réf inconnue")</f>
        <v/>
      </c>
      <c r="D160" s="30" t="n">
        <v>22</v>
      </c>
      <c r="E160" s="32">
        <f>IFERROR(INDEX(Produits!$D:$D,MATCH(B160,Produits!$A:$A,0)),0)</f>
        <v/>
      </c>
      <c r="F160" s="34" t="n">
        <v>0</v>
      </c>
      <c r="G160" s="35">
        <f>IFERROR(INDEX(Produits!$E:$E,MATCH(B160,Produits!$A:$A,0)),0)</f>
        <v/>
      </c>
      <c r="H160" s="32">
        <f>ROUND(D160*E160*(1-F160),2)</f>
        <v/>
      </c>
      <c r="I160" s="32">
        <f>ROUND(H160*G160,2)</f>
        <v/>
      </c>
    </row>
    <row r="161">
      <c r="A161" s="30" t="inlineStr">
        <is>
          <t>FA-2026-0051</t>
        </is>
      </c>
      <c r="B161" s="30" t="inlineStr">
        <is>
          <t>HO-T3</t>
        </is>
      </c>
      <c r="C161" s="30">
        <f>IFERROR(INDEX(Produits!$B:$B,MATCH(B161,Produits!$A:$A,0)),"Réf inconnue")</f>
        <v/>
      </c>
      <c r="D161" s="30" t="n">
        <v>17</v>
      </c>
      <c r="E161" s="32">
        <f>IFERROR(INDEX(Produits!$D:$D,MATCH(B161,Produits!$A:$A,0)),0)</f>
        <v/>
      </c>
      <c r="F161" s="34" t="n">
        <v>0</v>
      </c>
      <c r="G161" s="35">
        <f>IFERROR(INDEX(Produits!$E:$E,MATCH(B161,Produits!$A:$A,0)),0)</f>
        <v/>
      </c>
      <c r="H161" s="32">
        <f>ROUND(D161*E161*(1-F161),2)</f>
        <v/>
      </c>
      <c r="I161" s="32">
        <f>ROUND(H161*G161,2)</f>
        <v/>
      </c>
    </row>
    <row r="162">
      <c r="A162" s="30" t="inlineStr">
        <is>
          <t>FA-2026-0051</t>
        </is>
      </c>
      <c r="B162" s="30" t="inlineStr">
        <is>
          <t>CF-D</t>
        </is>
      </c>
      <c r="C162" s="30">
        <f>IFERROR(INDEX(Produits!$B:$B,MATCH(B162,Produits!$A:$A,0)),"Réf inconnue")</f>
        <v/>
      </c>
      <c r="D162" s="30" t="n">
        <v>5</v>
      </c>
      <c r="E162" s="32">
        <f>IFERROR(INDEX(Produits!$D:$D,MATCH(B162,Produits!$A:$A,0)),0)</f>
        <v/>
      </c>
      <c r="F162" s="34" t="n">
        <v>0.03</v>
      </c>
      <c r="G162" s="35">
        <f>IFERROR(INDEX(Produits!$E:$E,MATCH(B162,Produits!$A:$A,0)),0)</f>
        <v/>
      </c>
      <c r="H162" s="32">
        <f>ROUND(D162*E162*(1-F162),2)</f>
        <v/>
      </c>
      <c r="I162" s="32">
        <f>ROUND(H162*G162,2)</f>
        <v/>
      </c>
    </row>
    <row r="163">
      <c r="A163" s="30" t="inlineStr">
        <is>
          <t>FA-2026-0051</t>
        </is>
      </c>
      <c r="B163" s="30" t="inlineStr">
        <is>
          <t>HO-5</t>
        </is>
      </c>
      <c r="C163" s="30">
        <f>IFERROR(INDEX(Produits!$B:$B,MATCH(B163,Produits!$A:$A,0)),"Réf inconnue")</f>
        <v/>
      </c>
      <c r="D163" s="30" t="n">
        <v>10</v>
      </c>
      <c r="E163" s="32">
        <f>IFERROR(INDEX(Produits!$D:$D,MATCH(B163,Produits!$A:$A,0)),0)</f>
        <v/>
      </c>
      <c r="F163" s="34" t="n">
        <v>0.05</v>
      </c>
      <c r="G163" s="35">
        <f>IFERROR(INDEX(Produits!$E:$E,MATCH(B163,Produits!$A:$A,0)),0)</f>
        <v/>
      </c>
      <c r="H163" s="32">
        <f>ROUND(D163*E163*(1-F163),2)</f>
        <v/>
      </c>
      <c r="I163" s="32">
        <f>ROUND(H163*G163,2)</f>
        <v/>
      </c>
    </row>
    <row r="164">
      <c r="A164" s="30" t="inlineStr">
        <is>
          <t>FA-2026-0051</t>
        </is>
      </c>
      <c r="B164" s="30" t="inlineStr">
        <is>
          <t>SV-O</t>
        </is>
      </c>
      <c r="C164" s="30">
        <f>IFERROR(INDEX(Produits!$B:$B,MATCH(B164,Produits!$A:$A,0)),"Réf inconnue")</f>
        <v/>
      </c>
      <c r="D164" s="30" t="n">
        <v>42</v>
      </c>
      <c r="E164" s="32">
        <f>IFERROR(INDEX(Produits!$D:$D,MATCH(B164,Produits!$A:$A,0)),0)</f>
        <v/>
      </c>
      <c r="F164" s="34" t="n">
        <v>0.05</v>
      </c>
      <c r="G164" s="35">
        <f>IFERROR(INDEX(Produits!$E:$E,MATCH(B164,Produits!$A:$A,0)),0)</f>
        <v/>
      </c>
      <c r="H164" s="32">
        <f>ROUND(D164*E164*(1-F164),2)</f>
        <v/>
      </c>
      <c r="I164" s="32">
        <f>ROUND(H164*G164,2)</f>
        <v/>
      </c>
    </row>
    <row r="165">
      <c r="A165" s="30" t="inlineStr">
        <is>
          <t>FA-2026-0051</t>
        </is>
      </c>
      <c r="B165" s="30" t="inlineStr">
        <is>
          <t>HO-05</t>
        </is>
      </c>
      <c r="C165" s="30">
        <f>IFERROR(INDEX(Produits!$B:$B,MATCH(B165,Produits!$A:$A,0)),"Réf inconnue")</f>
        <v/>
      </c>
      <c r="D165" s="30" t="n">
        <v>43</v>
      </c>
      <c r="E165" s="32">
        <f>IFERROR(INDEX(Produits!$D:$D,MATCH(B165,Produits!$A:$A,0)),0)</f>
        <v/>
      </c>
      <c r="F165" s="34" t="n">
        <v>0.03</v>
      </c>
      <c r="G165" s="35">
        <f>IFERROR(INDEX(Produits!$E:$E,MATCH(B165,Produits!$A:$A,0)),0)</f>
        <v/>
      </c>
      <c r="H165" s="32">
        <f>ROUND(D165*E165*(1-F165),2)</f>
        <v/>
      </c>
      <c r="I165" s="32">
        <f>ROUND(H165*G165,2)</f>
        <v/>
      </c>
    </row>
    <row r="166">
      <c r="A166" s="30" t="inlineStr">
        <is>
          <t>FA-2026-0052</t>
        </is>
      </c>
      <c r="B166" s="30" t="inlineStr">
        <is>
          <t>OL-N</t>
        </is>
      </c>
      <c r="C166" s="30">
        <f>IFERROR(INDEX(Produits!$B:$B,MATCH(B166,Produits!$A:$A,0)),"Réf inconnue")</f>
        <v/>
      </c>
      <c r="D166" s="30" t="n">
        <v>7</v>
      </c>
      <c r="E166" s="32">
        <f>IFERROR(INDEX(Produits!$D:$D,MATCH(B166,Produits!$A:$A,0)),0)</f>
        <v/>
      </c>
      <c r="F166" s="34" t="n">
        <v>0</v>
      </c>
      <c r="G166" s="35">
        <f>IFERROR(INDEX(Produits!$E:$E,MATCH(B166,Produits!$A:$A,0)),0)</f>
        <v/>
      </c>
      <c r="H166" s="32">
        <f>ROUND(D166*E166*(1-F166),2)</f>
        <v/>
      </c>
      <c r="I166" s="32">
        <f>ROUND(H166*G166,2)</f>
        <v/>
      </c>
    </row>
    <row r="167">
      <c r="A167" s="30" t="inlineStr">
        <is>
          <t>FA-2026-0052</t>
        </is>
      </c>
      <c r="B167" s="30" t="inlineStr">
        <is>
          <t>HO-T3</t>
        </is>
      </c>
      <c r="C167" s="30">
        <f>IFERROR(INDEX(Produits!$B:$B,MATCH(B167,Produits!$A:$A,0)),"Réf inconnue")</f>
        <v/>
      </c>
      <c r="D167" s="30" t="n">
        <v>15</v>
      </c>
      <c r="E167" s="32">
        <f>IFERROR(INDEX(Produits!$D:$D,MATCH(B167,Produits!$A:$A,0)),0)</f>
        <v/>
      </c>
      <c r="F167" s="34" t="n">
        <v>0</v>
      </c>
      <c r="G167" s="35">
        <f>IFERROR(INDEX(Produits!$E:$E,MATCH(B167,Produits!$A:$A,0)),0)</f>
        <v/>
      </c>
      <c r="H167" s="32">
        <f>ROUND(D167*E167*(1-F167),2)</f>
        <v/>
      </c>
      <c r="I167" s="32">
        <f>ROUND(H167*G167,2)</f>
        <v/>
      </c>
    </row>
    <row r="168">
      <c r="A168" s="30" t="inlineStr">
        <is>
          <t>FA-2026-0052</t>
        </is>
      </c>
      <c r="B168" s="30" t="inlineStr">
        <is>
          <t>TP-O</t>
        </is>
      </c>
      <c r="C168" s="30">
        <f>IFERROR(INDEX(Produits!$B:$B,MATCH(B168,Produits!$A:$A,0)),"Réf inconnue")</f>
        <v/>
      </c>
      <c r="D168" s="30" t="n">
        <v>6</v>
      </c>
      <c r="E168" s="32">
        <f>IFERROR(INDEX(Produits!$D:$D,MATCH(B168,Produits!$A:$A,0)),0)</f>
        <v/>
      </c>
      <c r="F168" s="34" t="n">
        <v>0</v>
      </c>
      <c r="G168" s="35">
        <f>IFERROR(INDEX(Produits!$E:$E,MATCH(B168,Produits!$A:$A,0)),0)</f>
        <v/>
      </c>
      <c r="H168" s="32">
        <f>ROUND(D168*E168*(1-F168),2)</f>
        <v/>
      </c>
      <c r="I168" s="32">
        <f>ROUND(H168*G168,2)</f>
        <v/>
      </c>
    </row>
    <row r="169">
      <c r="A169" s="30" t="inlineStr">
        <is>
          <t>FA-2026-0053</t>
        </is>
      </c>
      <c r="B169" s="30" t="inlineStr">
        <is>
          <t>HO-T3</t>
        </is>
      </c>
      <c r="C169" s="30">
        <f>IFERROR(INDEX(Produits!$B:$B,MATCH(B169,Produits!$A:$A,0)),"Réf inconnue")</f>
        <v/>
      </c>
      <c r="D169" s="30" t="n">
        <v>25</v>
      </c>
      <c r="E169" s="32">
        <f>IFERROR(INDEX(Produits!$D:$D,MATCH(B169,Produits!$A:$A,0)),0)</f>
        <v/>
      </c>
      <c r="F169" s="34" t="n">
        <v>0</v>
      </c>
      <c r="G169" s="35">
        <f>IFERROR(INDEX(Produits!$E:$E,MATCH(B169,Produits!$A:$A,0)),0)</f>
        <v/>
      </c>
      <c r="H169" s="32">
        <f>ROUND(D169*E169*(1-F169),2)</f>
        <v/>
      </c>
      <c r="I169" s="32">
        <f>ROUND(H169*G169,2)</f>
        <v/>
      </c>
    </row>
    <row r="170">
      <c r="A170" s="30" t="inlineStr">
        <is>
          <t>FA-2026-0053</t>
        </is>
      </c>
      <c r="B170" s="30" t="inlineStr">
        <is>
          <t>CF-P</t>
        </is>
      </c>
      <c r="C170" s="30">
        <f>IFERROR(INDEX(Produits!$B:$B,MATCH(B170,Produits!$A:$A,0)),"Réf inconnue")</f>
        <v/>
      </c>
      <c r="D170" s="30" t="n">
        <v>7</v>
      </c>
      <c r="E170" s="32">
        <f>IFERROR(INDEX(Produits!$D:$D,MATCH(B170,Produits!$A:$A,0)),0)</f>
        <v/>
      </c>
      <c r="F170" s="34" t="n">
        <v>0</v>
      </c>
      <c r="G170" s="35">
        <f>IFERROR(INDEX(Produits!$E:$E,MATCH(B170,Produits!$A:$A,0)),0)</f>
        <v/>
      </c>
      <c r="H170" s="32">
        <f>ROUND(D170*E170*(1-F170),2)</f>
        <v/>
      </c>
      <c r="I170" s="32">
        <f>ROUND(H170*G170,2)</f>
        <v/>
      </c>
    </row>
    <row r="171">
      <c r="A171" s="30" t="inlineStr">
        <is>
          <t>FA-2026-0053</t>
        </is>
      </c>
      <c r="B171" s="30" t="inlineStr">
        <is>
          <t>SV-O</t>
        </is>
      </c>
      <c r="C171" s="30">
        <f>IFERROR(INDEX(Produits!$B:$B,MATCH(B171,Produits!$A:$A,0)),"Réf inconnue")</f>
        <v/>
      </c>
      <c r="D171" s="30" t="n">
        <v>29</v>
      </c>
      <c r="E171" s="32">
        <f>IFERROR(INDEX(Produits!$D:$D,MATCH(B171,Produits!$A:$A,0)),0)</f>
        <v/>
      </c>
      <c r="F171" s="34" t="n">
        <v>0</v>
      </c>
      <c r="G171" s="35">
        <f>IFERROR(INDEX(Produits!$E:$E,MATCH(B171,Produits!$A:$A,0)),0)</f>
        <v/>
      </c>
      <c r="H171" s="32">
        <f>ROUND(D171*E171*(1-F171),2)</f>
        <v/>
      </c>
      <c r="I171" s="32">
        <f>ROUND(H171*G171,2)</f>
        <v/>
      </c>
    </row>
    <row r="172">
      <c r="A172" s="30" t="inlineStr">
        <is>
          <t>FA-2026-0053</t>
        </is>
      </c>
      <c r="B172" s="30" t="inlineStr">
        <is>
          <t>HO-05</t>
        </is>
      </c>
      <c r="C172" s="30">
        <f>IFERROR(INDEX(Produits!$B:$B,MATCH(B172,Produits!$A:$A,0)),"Réf inconnue")</f>
        <v/>
      </c>
      <c r="D172" s="30" t="n">
        <v>13</v>
      </c>
      <c r="E172" s="32">
        <f>IFERROR(INDEX(Produits!$D:$D,MATCH(B172,Produits!$A:$A,0)),0)</f>
        <v/>
      </c>
      <c r="F172" s="34" t="n">
        <v>0.05</v>
      </c>
      <c r="G172" s="35">
        <f>IFERROR(INDEX(Produits!$E:$E,MATCH(B172,Produits!$A:$A,0)),0)</f>
        <v/>
      </c>
      <c r="H172" s="32">
        <f>ROUND(D172*E172*(1-F172),2)</f>
        <v/>
      </c>
      <c r="I172" s="32">
        <f>ROUND(H172*G172,2)</f>
        <v/>
      </c>
    </row>
    <row r="173">
      <c r="A173" s="30" t="inlineStr">
        <is>
          <t>FA-2026-0053</t>
        </is>
      </c>
      <c r="B173" s="30" t="inlineStr">
        <is>
          <t>OL-V</t>
        </is>
      </c>
      <c r="C173" s="30">
        <f>IFERROR(INDEX(Produits!$B:$B,MATCH(B173,Produits!$A:$A,0)),"Réf inconnue")</f>
        <v/>
      </c>
      <c r="D173" s="30" t="n">
        <v>17</v>
      </c>
      <c r="E173" s="32">
        <f>IFERROR(INDEX(Produits!$D:$D,MATCH(B173,Produits!$A:$A,0)),0)</f>
        <v/>
      </c>
      <c r="F173" s="34" t="n">
        <v>0</v>
      </c>
      <c r="G173" s="35">
        <f>IFERROR(INDEX(Produits!$E:$E,MATCH(B173,Produits!$A:$A,0)),0)</f>
        <v/>
      </c>
      <c r="H173" s="32">
        <f>ROUND(D173*E173*(1-F173),2)</f>
        <v/>
      </c>
      <c r="I173" s="32">
        <f>ROUND(H173*G173,2)</f>
        <v/>
      </c>
    </row>
    <row r="174">
      <c r="A174" s="30" t="inlineStr">
        <is>
          <t>FA-2026-0054</t>
        </is>
      </c>
      <c r="B174" s="30" t="inlineStr">
        <is>
          <t>HO-1</t>
        </is>
      </c>
      <c r="C174" s="30">
        <f>IFERROR(INDEX(Produits!$B:$B,MATCH(B174,Produits!$A:$A,0)),"Réf inconnue")</f>
        <v/>
      </c>
      <c r="D174" s="30" t="n">
        <v>24</v>
      </c>
      <c r="E174" s="32">
        <f>IFERROR(INDEX(Produits!$D:$D,MATCH(B174,Produits!$A:$A,0)),0)</f>
        <v/>
      </c>
      <c r="F174" s="34" t="n">
        <v>0.05</v>
      </c>
      <c r="G174" s="35">
        <f>IFERROR(INDEX(Produits!$E:$E,MATCH(B174,Produits!$A:$A,0)),0)</f>
        <v/>
      </c>
      <c r="H174" s="32">
        <f>ROUND(D174*E174*(1-F174),2)</f>
        <v/>
      </c>
      <c r="I174" s="32">
        <f>ROUND(H174*G174,2)</f>
        <v/>
      </c>
    </row>
    <row r="175">
      <c r="A175" s="30" t="inlineStr">
        <is>
          <t>FA-2026-0054</t>
        </is>
      </c>
      <c r="B175" s="30" t="inlineStr">
        <is>
          <t>CF-D</t>
        </is>
      </c>
      <c r="C175" s="30">
        <f>IFERROR(INDEX(Produits!$B:$B,MATCH(B175,Produits!$A:$A,0)),"Réf inconnue")</f>
        <v/>
      </c>
      <c r="D175" s="30" t="n">
        <v>2</v>
      </c>
      <c r="E175" s="32">
        <f>IFERROR(INDEX(Produits!$D:$D,MATCH(B175,Produits!$A:$A,0)),0)</f>
        <v/>
      </c>
      <c r="F175" s="34" t="n">
        <v>0</v>
      </c>
      <c r="G175" s="35">
        <f>IFERROR(INDEX(Produits!$E:$E,MATCH(B175,Produits!$A:$A,0)),0)</f>
        <v/>
      </c>
      <c r="H175" s="32">
        <f>ROUND(D175*E175*(1-F175),2)</f>
        <v/>
      </c>
      <c r="I175" s="32">
        <f>ROUND(H175*G175,2)</f>
        <v/>
      </c>
    </row>
    <row r="176">
      <c r="A176" s="30" t="inlineStr">
        <is>
          <t>FA-2026-0055</t>
        </is>
      </c>
      <c r="B176" s="30" t="inlineStr">
        <is>
          <t>HO-1</t>
        </is>
      </c>
      <c r="C176" s="30">
        <f>IFERROR(INDEX(Produits!$B:$B,MATCH(B176,Produits!$A:$A,0)),"Réf inconnue")</f>
        <v/>
      </c>
      <c r="D176" s="30" t="n">
        <v>25</v>
      </c>
      <c r="E176" s="32">
        <f>IFERROR(INDEX(Produits!$D:$D,MATCH(B176,Produits!$A:$A,0)),0)</f>
        <v/>
      </c>
      <c r="F176" s="34" t="n">
        <v>0</v>
      </c>
      <c r="G176" s="35">
        <f>IFERROR(INDEX(Produits!$E:$E,MATCH(B176,Produits!$A:$A,0)),0)</f>
        <v/>
      </c>
      <c r="H176" s="32">
        <f>ROUND(D176*E176*(1-F176),2)</f>
        <v/>
      </c>
      <c r="I176" s="32">
        <f>ROUND(H176*G176,2)</f>
        <v/>
      </c>
    </row>
    <row r="177">
      <c r="A177" s="30" t="inlineStr">
        <is>
          <t>FA-2026-0055</t>
        </is>
      </c>
      <c r="B177" s="30" t="inlineStr">
        <is>
          <t>TP-O</t>
        </is>
      </c>
      <c r="C177" s="30">
        <f>IFERROR(INDEX(Produits!$B:$B,MATCH(B177,Produits!$A:$A,0)),"Réf inconnue")</f>
        <v/>
      </c>
      <c r="D177" s="30" t="n">
        <v>46</v>
      </c>
      <c r="E177" s="32">
        <f>IFERROR(INDEX(Produits!$D:$D,MATCH(B177,Produits!$A:$A,0)),0)</f>
        <v/>
      </c>
      <c r="F177" s="34" t="n">
        <v>0</v>
      </c>
      <c r="G177" s="35">
        <f>IFERROR(INDEX(Produits!$E:$E,MATCH(B177,Produits!$A:$A,0)),0)</f>
        <v/>
      </c>
      <c r="H177" s="32">
        <f>ROUND(D177*E177*(1-F177),2)</f>
        <v/>
      </c>
      <c r="I177" s="32">
        <f>ROUND(H177*G177,2)</f>
        <v/>
      </c>
    </row>
    <row r="178">
      <c r="A178" s="30" t="inlineStr">
        <is>
          <t>FA-2026-0056</t>
        </is>
      </c>
      <c r="B178" s="30" t="inlineStr">
        <is>
          <t>HO-1</t>
        </is>
      </c>
      <c r="C178" s="30">
        <f>IFERROR(INDEX(Produits!$B:$B,MATCH(B178,Produits!$A:$A,0)),"Réf inconnue")</f>
        <v/>
      </c>
      <c r="D178" s="30" t="n">
        <v>12</v>
      </c>
      <c r="E178" s="32">
        <f>IFERROR(INDEX(Produits!$D:$D,MATCH(B178,Produits!$A:$A,0)),0)</f>
        <v/>
      </c>
      <c r="F178" s="34" t="n">
        <v>0</v>
      </c>
      <c r="G178" s="35">
        <f>IFERROR(INDEX(Produits!$E:$E,MATCH(B178,Produits!$A:$A,0)),0)</f>
        <v/>
      </c>
      <c r="H178" s="32">
        <f>ROUND(D178*E178*(1-F178),2)</f>
        <v/>
      </c>
      <c r="I178" s="32">
        <f>ROUND(H178*G178,2)</f>
        <v/>
      </c>
    </row>
    <row r="179">
      <c r="A179" s="30" t="inlineStr">
        <is>
          <t>FA-2026-0056</t>
        </is>
      </c>
      <c r="B179" s="30" t="inlineStr">
        <is>
          <t>TP-O</t>
        </is>
      </c>
      <c r="C179" s="30">
        <f>IFERROR(INDEX(Produits!$B:$B,MATCH(B179,Produits!$A:$A,0)),"Réf inconnue")</f>
        <v/>
      </c>
      <c r="D179" s="30" t="n">
        <v>15</v>
      </c>
      <c r="E179" s="32">
        <f>IFERROR(INDEX(Produits!$D:$D,MATCH(B179,Produits!$A:$A,0)),0)</f>
        <v/>
      </c>
      <c r="F179" s="34" t="n">
        <v>0</v>
      </c>
      <c r="G179" s="35">
        <f>IFERROR(INDEX(Produits!$E:$E,MATCH(B179,Produits!$A:$A,0)),0)</f>
        <v/>
      </c>
      <c r="H179" s="32">
        <f>ROUND(D179*E179*(1-F179),2)</f>
        <v/>
      </c>
      <c r="I179" s="32">
        <f>ROUND(H179*G179,2)</f>
        <v/>
      </c>
    </row>
    <row r="180">
      <c r="A180" s="30" t="inlineStr">
        <is>
          <t>FA-2026-0056</t>
        </is>
      </c>
      <c r="B180" s="30" t="inlineStr">
        <is>
          <t>CF-D</t>
        </is>
      </c>
      <c r="C180" s="30">
        <f>IFERROR(INDEX(Produits!$B:$B,MATCH(B180,Produits!$A:$A,0)),"Réf inconnue")</f>
        <v/>
      </c>
      <c r="D180" s="30" t="n">
        <v>2</v>
      </c>
      <c r="E180" s="32">
        <f>IFERROR(INDEX(Produits!$D:$D,MATCH(B180,Produits!$A:$A,0)),0)</f>
        <v/>
      </c>
      <c r="F180" s="34" t="n">
        <v>0</v>
      </c>
      <c r="G180" s="35">
        <f>IFERROR(INDEX(Produits!$E:$E,MATCH(B180,Produits!$A:$A,0)),0)</f>
        <v/>
      </c>
      <c r="H180" s="32">
        <f>ROUND(D180*E180*(1-F180),2)</f>
        <v/>
      </c>
      <c r="I180" s="32">
        <f>ROUND(H180*G180,2)</f>
        <v/>
      </c>
    </row>
    <row r="181">
      <c r="A181" s="30" t="inlineStr">
        <is>
          <t>FA-2026-0056</t>
        </is>
      </c>
      <c r="B181" s="30" t="inlineStr">
        <is>
          <t>OL-V</t>
        </is>
      </c>
      <c r="C181" s="30">
        <f>IFERROR(INDEX(Produits!$B:$B,MATCH(B181,Produits!$A:$A,0)),"Réf inconnue")</f>
        <v/>
      </c>
      <c r="D181" s="30" t="n">
        <v>16</v>
      </c>
      <c r="E181" s="32">
        <f>IFERROR(INDEX(Produits!$D:$D,MATCH(B181,Produits!$A:$A,0)),0)</f>
        <v/>
      </c>
      <c r="F181" s="34" t="n">
        <v>0</v>
      </c>
      <c r="G181" s="35">
        <f>IFERROR(INDEX(Produits!$E:$E,MATCH(B181,Produits!$A:$A,0)),0)</f>
        <v/>
      </c>
      <c r="H181" s="32">
        <f>ROUND(D181*E181*(1-F181),2)</f>
        <v/>
      </c>
      <c r="I181" s="32">
        <f>ROUND(H181*G181,2)</f>
        <v/>
      </c>
    </row>
    <row r="182">
      <c r="A182" s="30" t="inlineStr">
        <is>
          <t>FA-2026-0057</t>
        </is>
      </c>
      <c r="B182" s="30" t="inlineStr">
        <is>
          <t>SV-O</t>
        </is>
      </c>
      <c r="C182" s="30">
        <f>IFERROR(INDEX(Produits!$B:$B,MATCH(B182,Produits!$A:$A,0)),"Réf inconnue")</f>
        <v/>
      </c>
      <c r="D182" s="30" t="n">
        <v>34</v>
      </c>
      <c r="E182" s="32">
        <f>IFERROR(INDEX(Produits!$D:$D,MATCH(B182,Produits!$A:$A,0)),0)</f>
        <v/>
      </c>
      <c r="F182" s="34" t="n">
        <v>0.05</v>
      </c>
      <c r="G182" s="35">
        <f>IFERROR(INDEX(Produits!$E:$E,MATCH(B182,Produits!$A:$A,0)),0)</f>
        <v/>
      </c>
      <c r="H182" s="32">
        <f>ROUND(D182*E182*(1-F182),2)</f>
        <v/>
      </c>
      <c r="I182" s="32">
        <f>ROUND(H182*G182,2)</f>
        <v/>
      </c>
    </row>
    <row r="183">
      <c r="A183" s="30" t="inlineStr">
        <is>
          <t>FA-2026-0057</t>
        </is>
      </c>
      <c r="B183" s="30" t="inlineStr">
        <is>
          <t>TP-O</t>
        </is>
      </c>
      <c r="C183" s="30">
        <f>IFERROR(INDEX(Produits!$B:$B,MATCH(B183,Produits!$A:$A,0)),"Réf inconnue")</f>
        <v/>
      </c>
      <c r="D183" s="30" t="n">
        <v>72</v>
      </c>
      <c r="E183" s="32">
        <f>IFERROR(INDEX(Produits!$D:$D,MATCH(B183,Produits!$A:$A,0)),0)</f>
        <v/>
      </c>
      <c r="F183" s="34" t="n">
        <v>0</v>
      </c>
      <c r="G183" s="35">
        <f>IFERROR(INDEX(Produits!$E:$E,MATCH(B183,Produits!$A:$A,0)),0)</f>
        <v/>
      </c>
      <c r="H183" s="32">
        <f>ROUND(D183*E183*(1-F183),2)</f>
        <v/>
      </c>
      <c r="I183" s="32">
        <f>ROUND(H183*G183,2)</f>
        <v/>
      </c>
    </row>
    <row r="184">
      <c r="A184" s="30" t="inlineStr">
        <is>
          <t>FA-2026-0057</t>
        </is>
      </c>
      <c r="B184" s="30" t="inlineStr">
        <is>
          <t>HO-T3</t>
        </is>
      </c>
      <c r="C184" s="30">
        <f>IFERROR(INDEX(Produits!$B:$B,MATCH(B184,Produits!$A:$A,0)),"Réf inconnue")</f>
        <v/>
      </c>
      <c r="D184" s="30" t="n">
        <v>40</v>
      </c>
      <c r="E184" s="32">
        <f>IFERROR(INDEX(Produits!$D:$D,MATCH(B184,Produits!$A:$A,0)),0)</f>
        <v/>
      </c>
      <c r="F184" s="34" t="n">
        <v>0.05</v>
      </c>
      <c r="G184" s="35">
        <f>IFERROR(INDEX(Produits!$E:$E,MATCH(B184,Produits!$A:$A,0)),0)</f>
        <v/>
      </c>
      <c r="H184" s="32">
        <f>ROUND(D184*E184*(1-F184),2)</f>
        <v/>
      </c>
      <c r="I184" s="32">
        <f>ROUND(H184*G184,2)</f>
        <v/>
      </c>
    </row>
    <row r="185">
      <c r="A185" s="30" t="inlineStr">
        <is>
          <t>FA-2026-0057</t>
        </is>
      </c>
      <c r="B185" s="30" t="inlineStr">
        <is>
          <t>CF-P</t>
        </is>
      </c>
      <c r="C185" s="30">
        <f>IFERROR(INDEX(Produits!$B:$B,MATCH(B185,Produits!$A:$A,0)),"Réf inconnue")</f>
        <v/>
      </c>
      <c r="D185" s="30" t="n">
        <v>2</v>
      </c>
      <c r="E185" s="32">
        <f>IFERROR(INDEX(Produits!$D:$D,MATCH(B185,Produits!$A:$A,0)),0)</f>
        <v/>
      </c>
      <c r="F185" s="34" t="n">
        <v>0.05</v>
      </c>
      <c r="G185" s="35">
        <f>IFERROR(INDEX(Produits!$E:$E,MATCH(B185,Produits!$A:$A,0)),0)</f>
        <v/>
      </c>
      <c r="H185" s="32">
        <f>ROUND(D185*E185*(1-F185),2)</f>
        <v/>
      </c>
      <c r="I185" s="32">
        <f>ROUND(H185*G185,2)</f>
        <v/>
      </c>
    </row>
    <row r="186">
      <c r="A186" s="30" t="inlineStr">
        <is>
          <t>FA-2026-0058</t>
        </is>
      </c>
      <c r="B186" s="30" t="inlineStr">
        <is>
          <t>OL-N</t>
        </is>
      </c>
      <c r="C186" s="30">
        <f>IFERROR(INDEX(Produits!$B:$B,MATCH(B186,Produits!$A:$A,0)),"Réf inconnue")</f>
        <v/>
      </c>
      <c r="D186" s="30" t="n">
        <v>4</v>
      </c>
      <c r="E186" s="32">
        <f>IFERROR(INDEX(Produits!$D:$D,MATCH(B186,Produits!$A:$A,0)),0)</f>
        <v/>
      </c>
      <c r="F186" s="34" t="n">
        <v>0</v>
      </c>
      <c r="G186" s="35">
        <f>IFERROR(INDEX(Produits!$E:$E,MATCH(B186,Produits!$A:$A,0)),0)</f>
        <v/>
      </c>
      <c r="H186" s="32">
        <f>ROUND(D186*E186*(1-F186),2)</f>
        <v/>
      </c>
      <c r="I186" s="32">
        <f>ROUND(H186*G186,2)</f>
        <v/>
      </c>
    </row>
    <row r="187">
      <c r="A187" s="30" t="inlineStr">
        <is>
          <t>FA-2026-0058</t>
        </is>
      </c>
      <c r="B187" s="30" t="inlineStr">
        <is>
          <t>CF-P</t>
        </is>
      </c>
      <c r="C187" s="30">
        <f>IFERROR(INDEX(Produits!$B:$B,MATCH(B187,Produits!$A:$A,0)),"Réf inconnue")</f>
        <v/>
      </c>
      <c r="D187" s="30" t="n">
        <v>1</v>
      </c>
      <c r="E187" s="32">
        <f>IFERROR(INDEX(Produits!$D:$D,MATCH(B187,Produits!$A:$A,0)),0)</f>
        <v/>
      </c>
      <c r="F187" s="34" t="n">
        <v>0</v>
      </c>
      <c r="G187" s="35">
        <f>IFERROR(INDEX(Produits!$E:$E,MATCH(B187,Produits!$A:$A,0)),0)</f>
        <v/>
      </c>
      <c r="H187" s="32">
        <f>ROUND(D187*E187*(1-F187),2)</f>
        <v/>
      </c>
      <c r="I187" s="32">
        <f>ROUND(H187*G187,2)</f>
        <v/>
      </c>
    </row>
    <row r="188">
      <c r="A188" s="30" t="inlineStr">
        <is>
          <t>FA-2026-0058</t>
        </is>
      </c>
      <c r="B188" s="30" t="inlineStr">
        <is>
          <t>HO-05</t>
        </is>
      </c>
      <c r="C188" s="30">
        <f>IFERROR(INDEX(Produits!$B:$B,MATCH(B188,Produits!$A:$A,0)),"Réf inconnue")</f>
        <v/>
      </c>
      <c r="D188" s="30" t="n">
        <v>14</v>
      </c>
      <c r="E188" s="32">
        <f>IFERROR(INDEX(Produits!$D:$D,MATCH(B188,Produits!$A:$A,0)),0)</f>
        <v/>
      </c>
      <c r="F188" s="34" t="n">
        <v>0</v>
      </c>
      <c r="G188" s="35">
        <f>IFERROR(INDEX(Produits!$E:$E,MATCH(B188,Produits!$A:$A,0)),0)</f>
        <v/>
      </c>
      <c r="H188" s="32">
        <f>ROUND(D188*E188*(1-F188),2)</f>
        <v/>
      </c>
      <c r="I188" s="32">
        <f>ROUND(H188*G188,2)</f>
        <v/>
      </c>
    </row>
    <row r="189">
      <c r="A189" s="30" t="inlineStr">
        <is>
          <t>FA-2026-0058</t>
        </is>
      </c>
      <c r="B189" s="30" t="inlineStr">
        <is>
          <t>HO-T3</t>
        </is>
      </c>
      <c r="C189" s="30">
        <f>IFERROR(INDEX(Produits!$B:$B,MATCH(B189,Produits!$A:$A,0)),"Réf inconnue")</f>
        <v/>
      </c>
      <c r="D189" s="30" t="n">
        <v>9</v>
      </c>
      <c r="E189" s="32">
        <f>IFERROR(INDEX(Produits!$D:$D,MATCH(B189,Produits!$A:$A,0)),0)</f>
        <v/>
      </c>
      <c r="F189" s="34" t="n">
        <v>0</v>
      </c>
      <c r="G189" s="35">
        <f>IFERROR(INDEX(Produits!$E:$E,MATCH(B189,Produits!$A:$A,0)),0)</f>
        <v/>
      </c>
      <c r="H189" s="32">
        <f>ROUND(D189*E189*(1-F189),2)</f>
        <v/>
      </c>
      <c r="I189" s="32">
        <f>ROUND(H189*G189,2)</f>
        <v/>
      </c>
    </row>
    <row r="190">
      <c r="A190" s="30" t="inlineStr">
        <is>
          <t>FA-2026-0059</t>
        </is>
      </c>
      <c r="B190" s="30" t="inlineStr">
        <is>
          <t>CF-P</t>
        </is>
      </c>
      <c r="C190" s="30">
        <f>IFERROR(INDEX(Produits!$B:$B,MATCH(B190,Produits!$A:$A,0)),"Réf inconnue")</f>
        <v/>
      </c>
      <c r="D190" s="30" t="n">
        <v>1</v>
      </c>
      <c r="E190" s="32">
        <f>IFERROR(INDEX(Produits!$D:$D,MATCH(B190,Produits!$A:$A,0)),0)</f>
        <v/>
      </c>
      <c r="F190" s="34" t="n">
        <v>0</v>
      </c>
      <c r="G190" s="35">
        <f>IFERROR(INDEX(Produits!$E:$E,MATCH(B190,Produits!$A:$A,0)),0)</f>
        <v/>
      </c>
      <c r="H190" s="32">
        <f>ROUND(D190*E190*(1-F190),2)</f>
        <v/>
      </c>
      <c r="I190" s="32">
        <f>ROUND(H190*G190,2)</f>
        <v/>
      </c>
    </row>
    <row r="191">
      <c r="A191" s="30" t="inlineStr">
        <is>
          <t>FA-2026-0059</t>
        </is>
      </c>
      <c r="B191" s="30" t="inlineStr">
        <is>
          <t>HO-T3</t>
        </is>
      </c>
      <c r="C191" s="30">
        <f>IFERROR(INDEX(Produits!$B:$B,MATCH(B191,Produits!$A:$A,0)),"Réf inconnue")</f>
        <v/>
      </c>
      <c r="D191" s="30" t="n">
        <v>11</v>
      </c>
      <c r="E191" s="32">
        <f>IFERROR(INDEX(Produits!$D:$D,MATCH(B191,Produits!$A:$A,0)),0)</f>
        <v/>
      </c>
      <c r="F191" s="34" t="n">
        <v>0</v>
      </c>
      <c r="G191" s="35">
        <f>IFERROR(INDEX(Produits!$E:$E,MATCH(B191,Produits!$A:$A,0)),0)</f>
        <v/>
      </c>
      <c r="H191" s="32">
        <f>ROUND(D191*E191*(1-F191),2)</f>
        <v/>
      </c>
      <c r="I191" s="32">
        <f>ROUND(H191*G191,2)</f>
        <v/>
      </c>
    </row>
    <row r="192">
      <c r="A192" s="30" t="inlineStr">
        <is>
          <t>FA-2026-0059</t>
        </is>
      </c>
      <c r="B192" s="30" t="inlineStr">
        <is>
          <t>TP-O</t>
        </is>
      </c>
      <c r="C192" s="30">
        <f>IFERROR(INDEX(Produits!$B:$B,MATCH(B192,Produits!$A:$A,0)),"Réf inconnue")</f>
        <v/>
      </c>
      <c r="D192" s="30" t="n">
        <v>24</v>
      </c>
      <c r="E192" s="32">
        <f>IFERROR(INDEX(Produits!$D:$D,MATCH(B192,Produits!$A:$A,0)),0)</f>
        <v/>
      </c>
      <c r="F192" s="34" t="n">
        <v>0</v>
      </c>
      <c r="G192" s="35">
        <f>IFERROR(INDEX(Produits!$E:$E,MATCH(B192,Produits!$A:$A,0)),0)</f>
        <v/>
      </c>
      <c r="H192" s="32">
        <f>ROUND(D192*E192*(1-F192),2)</f>
        <v/>
      </c>
      <c r="I192" s="32">
        <f>ROUND(H192*G192,2)</f>
        <v/>
      </c>
    </row>
    <row r="193">
      <c r="A193" s="30" t="inlineStr">
        <is>
          <t>FA-2026-0059</t>
        </is>
      </c>
      <c r="B193" s="30" t="inlineStr">
        <is>
          <t>SV-O</t>
        </is>
      </c>
      <c r="C193" s="30">
        <f>IFERROR(INDEX(Produits!$B:$B,MATCH(B193,Produits!$A:$A,0)),"Réf inconnue")</f>
        <v/>
      </c>
      <c r="D193" s="30" t="n">
        <v>24</v>
      </c>
      <c r="E193" s="32">
        <f>IFERROR(INDEX(Produits!$D:$D,MATCH(B193,Produits!$A:$A,0)),0)</f>
        <v/>
      </c>
      <c r="F193" s="34" t="n">
        <v>0</v>
      </c>
      <c r="G193" s="35">
        <f>IFERROR(INDEX(Produits!$E:$E,MATCH(B193,Produits!$A:$A,0)),0)</f>
        <v/>
      </c>
      <c r="H193" s="32">
        <f>ROUND(D193*E193*(1-F193),2)</f>
        <v/>
      </c>
      <c r="I193" s="32">
        <f>ROUND(H193*G193,2)</f>
        <v/>
      </c>
    </row>
    <row r="194">
      <c r="A194" s="30" t="inlineStr">
        <is>
          <t>FA-2026-0060</t>
        </is>
      </c>
      <c r="B194" s="30" t="inlineStr">
        <is>
          <t>OL-N</t>
        </is>
      </c>
      <c r="C194" s="30">
        <f>IFERROR(INDEX(Produits!$B:$B,MATCH(B194,Produits!$A:$A,0)),"Réf inconnue")</f>
        <v/>
      </c>
      <c r="D194" s="30" t="n">
        <v>22</v>
      </c>
      <c r="E194" s="32">
        <f>IFERROR(INDEX(Produits!$D:$D,MATCH(B194,Produits!$A:$A,0)),0)</f>
        <v/>
      </c>
      <c r="F194" s="34" t="n">
        <v>0</v>
      </c>
      <c r="G194" s="35">
        <f>IFERROR(INDEX(Produits!$E:$E,MATCH(B194,Produits!$A:$A,0)),0)</f>
        <v/>
      </c>
      <c r="H194" s="32">
        <f>ROUND(D194*E194*(1-F194),2)</f>
        <v/>
      </c>
      <c r="I194" s="32">
        <f>ROUND(H194*G194,2)</f>
        <v/>
      </c>
    </row>
    <row r="195">
      <c r="A195" s="30" t="inlineStr">
        <is>
          <t>FA-2026-0060</t>
        </is>
      </c>
      <c r="B195" s="30" t="inlineStr">
        <is>
          <t>HO-05</t>
        </is>
      </c>
      <c r="C195" s="30">
        <f>IFERROR(INDEX(Produits!$B:$B,MATCH(B195,Produits!$A:$A,0)),"Réf inconnue")</f>
        <v/>
      </c>
      <c r="D195" s="30" t="n">
        <v>29</v>
      </c>
      <c r="E195" s="32">
        <f>IFERROR(INDEX(Produits!$D:$D,MATCH(B195,Produits!$A:$A,0)),0)</f>
        <v/>
      </c>
      <c r="F195" s="34" t="n">
        <v>0</v>
      </c>
      <c r="G195" s="35">
        <f>IFERROR(INDEX(Produits!$E:$E,MATCH(B195,Produits!$A:$A,0)),0)</f>
        <v/>
      </c>
      <c r="H195" s="32">
        <f>ROUND(D195*E195*(1-F195),2)</f>
        <v/>
      </c>
      <c r="I195" s="32">
        <f>ROUND(H195*G195,2)</f>
        <v/>
      </c>
    </row>
    <row r="196">
      <c r="A196" s="30" t="inlineStr">
        <is>
          <t>FA-2026-0060</t>
        </is>
      </c>
      <c r="B196" s="30" t="inlineStr">
        <is>
          <t>SV-O</t>
        </is>
      </c>
      <c r="C196" s="30">
        <f>IFERROR(INDEX(Produits!$B:$B,MATCH(B196,Produits!$A:$A,0)),"Réf inconnue")</f>
        <v/>
      </c>
      <c r="D196" s="30" t="n">
        <v>8</v>
      </c>
      <c r="E196" s="32">
        <f>IFERROR(INDEX(Produits!$D:$D,MATCH(B196,Produits!$A:$A,0)),0)</f>
        <v/>
      </c>
      <c r="F196" s="34" t="n">
        <v>0</v>
      </c>
      <c r="G196" s="35">
        <f>IFERROR(INDEX(Produits!$E:$E,MATCH(B196,Produits!$A:$A,0)),0)</f>
        <v/>
      </c>
      <c r="H196" s="32">
        <f>ROUND(D196*E196*(1-F196),2)</f>
        <v/>
      </c>
      <c r="I196" s="32">
        <f>ROUND(H196*G196,2)</f>
        <v/>
      </c>
    </row>
    <row r="197">
      <c r="A197" s="30" t="inlineStr">
        <is>
          <t>FA-2026-0060</t>
        </is>
      </c>
      <c r="B197" s="30" t="inlineStr">
        <is>
          <t>OL-V</t>
        </is>
      </c>
      <c r="C197" s="30">
        <f>IFERROR(INDEX(Produits!$B:$B,MATCH(B197,Produits!$A:$A,0)),"Réf inconnue")</f>
        <v/>
      </c>
      <c r="D197" s="30" t="n">
        <v>6</v>
      </c>
      <c r="E197" s="32">
        <f>IFERROR(INDEX(Produits!$D:$D,MATCH(B197,Produits!$A:$A,0)),0)</f>
        <v/>
      </c>
      <c r="F197" s="34" t="n">
        <v>0</v>
      </c>
      <c r="G197" s="35">
        <f>IFERROR(INDEX(Produits!$E:$E,MATCH(B197,Produits!$A:$A,0)),0)</f>
        <v/>
      </c>
      <c r="H197" s="32">
        <f>ROUND(D197*E197*(1-F197),2)</f>
        <v/>
      </c>
      <c r="I197" s="32">
        <f>ROUND(H197*G197,2)</f>
        <v/>
      </c>
    </row>
    <row r="198">
      <c r="A198" s="30" t="inlineStr">
        <is>
          <t>FA-2026-0061</t>
        </is>
      </c>
      <c r="B198" s="30" t="inlineStr">
        <is>
          <t>SV-O</t>
        </is>
      </c>
      <c r="C198" s="30">
        <f>IFERROR(INDEX(Produits!$B:$B,MATCH(B198,Produits!$A:$A,0)),"Réf inconnue")</f>
        <v/>
      </c>
      <c r="D198" s="30" t="n">
        <v>66</v>
      </c>
      <c r="E198" s="32">
        <f>IFERROR(INDEX(Produits!$D:$D,MATCH(B198,Produits!$A:$A,0)),0)</f>
        <v/>
      </c>
      <c r="F198" s="34" t="n">
        <v>0.03</v>
      </c>
      <c r="G198" s="35">
        <f>IFERROR(INDEX(Produits!$E:$E,MATCH(B198,Produits!$A:$A,0)),0)</f>
        <v/>
      </c>
      <c r="H198" s="32">
        <f>ROUND(D198*E198*(1-F198),2)</f>
        <v/>
      </c>
      <c r="I198" s="32">
        <f>ROUND(H198*G198,2)</f>
        <v/>
      </c>
    </row>
    <row r="199">
      <c r="A199" s="30" t="inlineStr">
        <is>
          <t>FA-2026-0061</t>
        </is>
      </c>
      <c r="B199" s="30" t="inlineStr">
        <is>
          <t>HO-T3</t>
        </is>
      </c>
      <c r="C199" s="30">
        <f>IFERROR(INDEX(Produits!$B:$B,MATCH(B199,Produits!$A:$A,0)),"Réf inconnue")</f>
        <v/>
      </c>
      <c r="D199" s="30" t="n">
        <v>56</v>
      </c>
      <c r="E199" s="32">
        <f>IFERROR(INDEX(Produits!$D:$D,MATCH(B199,Produits!$A:$A,0)),0)</f>
        <v/>
      </c>
      <c r="F199" s="34" t="n">
        <v>0</v>
      </c>
      <c r="G199" s="35">
        <f>IFERROR(INDEX(Produits!$E:$E,MATCH(B199,Produits!$A:$A,0)),0)</f>
        <v/>
      </c>
      <c r="H199" s="32">
        <f>ROUND(D199*E199*(1-F199),2)</f>
        <v/>
      </c>
      <c r="I199" s="32">
        <f>ROUND(H199*G199,2)</f>
        <v/>
      </c>
    </row>
    <row r="200">
      <c r="A200" s="30" t="inlineStr">
        <is>
          <t>FA-2026-0062</t>
        </is>
      </c>
      <c r="B200" s="30" t="inlineStr">
        <is>
          <t>HO-1</t>
        </is>
      </c>
      <c r="C200" s="30">
        <f>IFERROR(INDEX(Produits!$B:$B,MATCH(B200,Produits!$A:$A,0)),"Réf inconnue")</f>
        <v/>
      </c>
      <c r="D200" s="30" t="n">
        <v>51</v>
      </c>
      <c r="E200" s="32">
        <f>IFERROR(INDEX(Produits!$D:$D,MATCH(B200,Produits!$A:$A,0)),0)</f>
        <v/>
      </c>
      <c r="F200" s="34" t="n">
        <v>0.05</v>
      </c>
      <c r="G200" s="35">
        <f>IFERROR(INDEX(Produits!$E:$E,MATCH(B200,Produits!$A:$A,0)),0)</f>
        <v/>
      </c>
      <c r="H200" s="32">
        <f>ROUND(D200*E200*(1-F200),2)</f>
        <v/>
      </c>
      <c r="I200" s="32">
        <f>ROUND(H200*G200,2)</f>
        <v/>
      </c>
    </row>
    <row r="201">
      <c r="A201" s="30" t="inlineStr">
        <is>
          <t>FA-2026-0062</t>
        </is>
      </c>
      <c r="B201" s="30" t="inlineStr">
        <is>
          <t>CF-P</t>
        </is>
      </c>
      <c r="C201" s="30">
        <f>IFERROR(INDEX(Produits!$B:$B,MATCH(B201,Produits!$A:$A,0)),"Réf inconnue")</f>
        <v/>
      </c>
      <c r="D201" s="30" t="n">
        <v>7</v>
      </c>
      <c r="E201" s="32">
        <f>IFERROR(INDEX(Produits!$D:$D,MATCH(B201,Produits!$A:$A,0)),0)</f>
        <v/>
      </c>
      <c r="F201" s="34" t="n">
        <v>0</v>
      </c>
      <c r="G201" s="35">
        <f>IFERROR(INDEX(Produits!$E:$E,MATCH(B201,Produits!$A:$A,0)),0)</f>
        <v/>
      </c>
      <c r="H201" s="32">
        <f>ROUND(D201*E201*(1-F201),2)</f>
        <v/>
      </c>
      <c r="I201" s="32">
        <f>ROUND(H201*G201,2)</f>
        <v/>
      </c>
    </row>
    <row r="202">
      <c r="A202" s="30" t="inlineStr">
        <is>
          <t>FA-2026-0062</t>
        </is>
      </c>
      <c r="B202" s="30" t="inlineStr">
        <is>
          <t>TP-O</t>
        </is>
      </c>
      <c r="C202" s="30">
        <f>IFERROR(INDEX(Produits!$B:$B,MATCH(B202,Produits!$A:$A,0)),"Réf inconnue")</f>
        <v/>
      </c>
      <c r="D202" s="30" t="n">
        <v>10</v>
      </c>
      <c r="E202" s="32">
        <f>IFERROR(INDEX(Produits!$D:$D,MATCH(B202,Produits!$A:$A,0)),0)</f>
        <v/>
      </c>
      <c r="F202" s="34" t="n">
        <v>0.05</v>
      </c>
      <c r="G202" s="35">
        <f>IFERROR(INDEX(Produits!$E:$E,MATCH(B202,Produits!$A:$A,0)),0)</f>
        <v/>
      </c>
      <c r="H202" s="32">
        <f>ROUND(D202*E202*(1-F202),2)</f>
        <v/>
      </c>
      <c r="I202" s="32">
        <f>ROUND(H202*G202,2)</f>
        <v/>
      </c>
    </row>
    <row r="203">
      <c r="A203" s="30" t="inlineStr">
        <is>
          <t>FA-2026-0062</t>
        </is>
      </c>
      <c r="B203" s="30" t="inlineStr">
        <is>
          <t>OL-N</t>
        </is>
      </c>
      <c r="C203" s="30">
        <f>IFERROR(INDEX(Produits!$B:$B,MATCH(B203,Produits!$A:$A,0)),"Réf inconnue")</f>
        <v/>
      </c>
      <c r="D203" s="30" t="n">
        <v>31</v>
      </c>
      <c r="E203" s="32">
        <f>IFERROR(INDEX(Produits!$D:$D,MATCH(B203,Produits!$A:$A,0)),0)</f>
        <v/>
      </c>
      <c r="F203" s="34" t="n">
        <v>0.03</v>
      </c>
      <c r="G203" s="35">
        <f>IFERROR(INDEX(Produits!$E:$E,MATCH(B203,Produits!$A:$A,0)),0)</f>
        <v/>
      </c>
      <c r="H203" s="32">
        <f>ROUND(D203*E203*(1-F203),2)</f>
        <v/>
      </c>
      <c r="I203" s="32">
        <f>ROUND(H203*G203,2)</f>
        <v/>
      </c>
    </row>
    <row r="204">
      <c r="A204" s="30" t="inlineStr">
        <is>
          <t>FA-2026-0063</t>
        </is>
      </c>
      <c r="B204" s="30" t="inlineStr">
        <is>
          <t>CF-P</t>
        </is>
      </c>
      <c r="C204" s="30">
        <f>IFERROR(INDEX(Produits!$B:$B,MATCH(B204,Produits!$A:$A,0)),"Réf inconnue")</f>
        <v/>
      </c>
      <c r="D204" s="30" t="n">
        <v>4</v>
      </c>
      <c r="E204" s="32">
        <f>IFERROR(INDEX(Produits!$D:$D,MATCH(B204,Produits!$A:$A,0)),0)</f>
        <v/>
      </c>
      <c r="F204" s="34" t="n">
        <v>0</v>
      </c>
      <c r="G204" s="35">
        <f>IFERROR(INDEX(Produits!$E:$E,MATCH(B204,Produits!$A:$A,0)),0)</f>
        <v/>
      </c>
      <c r="H204" s="32">
        <f>ROUND(D204*E204*(1-F204),2)</f>
        <v/>
      </c>
      <c r="I204" s="32">
        <f>ROUND(H204*G204,2)</f>
        <v/>
      </c>
    </row>
    <row r="205">
      <c r="A205" s="30" t="inlineStr">
        <is>
          <t>FA-2026-0063</t>
        </is>
      </c>
      <c r="B205" s="30" t="inlineStr">
        <is>
          <t>OL-V</t>
        </is>
      </c>
      <c r="C205" s="30">
        <f>IFERROR(INDEX(Produits!$B:$B,MATCH(B205,Produits!$A:$A,0)),"Réf inconnue")</f>
        <v/>
      </c>
      <c r="D205" s="30" t="n">
        <v>6</v>
      </c>
      <c r="E205" s="32">
        <f>IFERROR(INDEX(Produits!$D:$D,MATCH(B205,Produits!$A:$A,0)),0)</f>
        <v/>
      </c>
      <c r="F205" s="34" t="n">
        <v>0</v>
      </c>
      <c r="G205" s="35">
        <f>IFERROR(INDEX(Produits!$E:$E,MATCH(B205,Produits!$A:$A,0)),0)</f>
        <v/>
      </c>
      <c r="H205" s="32">
        <f>ROUND(D205*E205*(1-F205),2)</f>
        <v/>
      </c>
      <c r="I205" s="32">
        <f>ROUND(H205*G205,2)</f>
        <v/>
      </c>
    </row>
    <row r="206">
      <c r="A206" s="30" t="inlineStr">
        <is>
          <t>FA-2026-0063</t>
        </is>
      </c>
      <c r="B206" s="30" t="inlineStr">
        <is>
          <t>OL-N</t>
        </is>
      </c>
      <c r="C206" s="30">
        <f>IFERROR(INDEX(Produits!$B:$B,MATCH(B206,Produits!$A:$A,0)),"Réf inconnue")</f>
        <v/>
      </c>
      <c r="D206" s="30" t="n">
        <v>10</v>
      </c>
      <c r="E206" s="32">
        <f>IFERROR(INDEX(Produits!$D:$D,MATCH(B206,Produits!$A:$A,0)),0)</f>
        <v/>
      </c>
      <c r="F206" s="34" t="n">
        <v>0</v>
      </c>
      <c r="G206" s="35">
        <f>IFERROR(INDEX(Produits!$E:$E,MATCH(B206,Produits!$A:$A,0)),0)</f>
        <v/>
      </c>
      <c r="H206" s="32">
        <f>ROUND(D206*E206*(1-F206),2)</f>
        <v/>
      </c>
      <c r="I206" s="32">
        <f>ROUND(H206*G206,2)</f>
        <v/>
      </c>
    </row>
    <row r="207">
      <c r="A207" s="30" t="inlineStr">
        <is>
          <t>FA-2026-0064</t>
        </is>
      </c>
      <c r="B207" s="30" t="inlineStr">
        <is>
          <t>HO-05</t>
        </is>
      </c>
      <c r="C207" s="30">
        <f>IFERROR(INDEX(Produits!$B:$B,MATCH(B207,Produits!$A:$A,0)),"Réf inconnue")</f>
        <v/>
      </c>
      <c r="D207" s="30" t="n">
        <v>52</v>
      </c>
      <c r="E207" s="32">
        <f>IFERROR(INDEX(Produits!$D:$D,MATCH(B207,Produits!$A:$A,0)),0)</f>
        <v/>
      </c>
      <c r="F207" s="34" t="n">
        <v>0</v>
      </c>
      <c r="G207" s="35">
        <f>IFERROR(INDEX(Produits!$E:$E,MATCH(B207,Produits!$A:$A,0)),0)</f>
        <v/>
      </c>
      <c r="H207" s="32">
        <f>ROUND(D207*E207*(1-F207),2)</f>
        <v/>
      </c>
      <c r="I207" s="32">
        <f>ROUND(H207*G207,2)</f>
        <v/>
      </c>
    </row>
    <row r="208">
      <c r="A208" s="30" t="inlineStr">
        <is>
          <t>FA-2026-0064</t>
        </is>
      </c>
      <c r="B208" s="30" t="inlineStr">
        <is>
          <t>CF-P</t>
        </is>
      </c>
      <c r="C208" s="30">
        <f>IFERROR(INDEX(Produits!$B:$B,MATCH(B208,Produits!$A:$A,0)),"Réf inconnue")</f>
        <v/>
      </c>
      <c r="D208" s="30" t="n">
        <v>7</v>
      </c>
      <c r="E208" s="32">
        <f>IFERROR(INDEX(Produits!$D:$D,MATCH(B208,Produits!$A:$A,0)),0)</f>
        <v/>
      </c>
      <c r="F208" s="34" t="n">
        <v>0.05</v>
      </c>
      <c r="G208" s="35">
        <f>IFERROR(INDEX(Produits!$E:$E,MATCH(B208,Produits!$A:$A,0)),0)</f>
        <v/>
      </c>
      <c r="H208" s="32">
        <f>ROUND(D208*E208*(1-F208),2)</f>
        <v/>
      </c>
      <c r="I208" s="32">
        <f>ROUND(H208*G208,2)</f>
        <v/>
      </c>
    </row>
    <row r="209">
      <c r="A209" s="30" t="inlineStr">
        <is>
          <t>FA-2026-0065</t>
        </is>
      </c>
      <c r="B209" s="30" t="inlineStr">
        <is>
          <t>CF-D</t>
        </is>
      </c>
      <c r="C209" s="30">
        <f>IFERROR(INDEX(Produits!$B:$B,MATCH(B209,Produits!$A:$A,0)),"Réf inconnue")</f>
        <v/>
      </c>
      <c r="D209" s="30" t="n">
        <v>5</v>
      </c>
      <c r="E209" s="32">
        <f>IFERROR(INDEX(Produits!$D:$D,MATCH(B209,Produits!$A:$A,0)),0)</f>
        <v/>
      </c>
      <c r="F209" s="34" t="n">
        <v>0.03</v>
      </c>
      <c r="G209" s="35">
        <f>IFERROR(INDEX(Produits!$E:$E,MATCH(B209,Produits!$A:$A,0)),0)</f>
        <v/>
      </c>
      <c r="H209" s="32">
        <f>ROUND(D209*E209*(1-F209),2)</f>
        <v/>
      </c>
      <c r="I209" s="32">
        <f>ROUND(H209*G209,2)</f>
        <v/>
      </c>
    </row>
    <row r="210">
      <c r="A210" s="30" t="inlineStr">
        <is>
          <t>FA-2026-0065</t>
        </is>
      </c>
      <c r="B210" s="30" t="inlineStr">
        <is>
          <t>HO-05</t>
        </is>
      </c>
      <c r="C210" s="30">
        <f>IFERROR(INDEX(Produits!$B:$B,MATCH(B210,Produits!$A:$A,0)),"Réf inconnue")</f>
        <v/>
      </c>
      <c r="D210" s="30" t="n">
        <v>68</v>
      </c>
      <c r="E210" s="32">
        <f>IFERROR(INDEX(Produits!$D:$D,MATCH(B210,Produits!$A:$A,0)),0)</f>
        <v/>
      </c>
      <c r="F210" s="34" t="n">
        <v>0</v>
      </c>
      <c r="G210" s="35">
        <f>IFERROR(INDEX(Produits!$E:$E,MATCH(B210,Produits!$A:$A,0)),0)</f>
        <v/>
      </c>
      <c r="H210" s="32">
        <f>ROUND(D210*E210*(1-F210),2)</f>
        <v/>
      </c>
      <c r="I210" s="32">
        <f>ROUND(H210*G210,2)</f>
        <v/>
      </c>
    </row>
    <row r="211">
      <c r="A211" s="30" t="inlineStr">
        <is>
          <t>FA-2026-0066</t>
        </is>
      </c>
      <c r="B211" s="30" t="inlineStr">
        <is>
          <t>OL-N</t>
        </is>
      </c>
      <c r="C211" s="30">
        <f>IFERROR(INDEX(Produits!$B:$B,MATCH(B211,Produits!$A:$A,0)),"Réf inconnue")</f>
        <v/>
      </c>
      <c r="D211" s="30" t="n">
        <v>6</v>
      </c>
      <c r="E211" s="32">
        <f>IFERROR(INDEX(Produits!$D:$D,MATCH(B211,Produits!$A:$A,0)),0)</f>
        <v/>
      </c>
      <c r="F211" s="34" t="n">
        <v>0</v>
      </c>
      <c r="G211" s="35">
        <f>IFERROR(INDEX(Produits!$E:$E,MATCH(B211,Produits!$A:$A,0)),0)</f>
        <v/>
      </c>
      <c r="H211" s="32">
        <f>ROUND(D211*E211*(1-F211),2)</f>
        <v/>
      </c>
      <c r="I211" s="32">
        <f>ROUND(H211*G211,2)</f>
        <v/>
      </c>
    </row>
    <row r="212">
      <c r="A212" s="30" t="inlineStr">
        <is>
          <t>FA-2026-0066</t>
        </is>
      </c>
      <c r="B212" s="30" t="inlineStr">
        <is>
          <t>HO-T3</t>
        </is>
      </c>
      <c r="C212" s="30">
        <f>IFERROR(INDEX(Produits!$B:$B,MATCH(B212,Produits!$A:$A,0)),"Réf inconnue")</f>
        <v/>
      </c>
      <c r="D212" s="30" t="n">
        <v>8</v>
      </c>
      <c r="E212" s="32">
        <f>IFERROR(INDEX(Produits!$D:$D,MATCH(B212,Produits!$A:$A,0)),0)</f>
        <v/>
      </c>
      <c r="F212" s="34" t="n">
        <v>0</v>
      </c>
      <c r="G212" s="35">
        <f>IFERROR(INDEX(Produits!$E:$E,MATCH(B212,Produits!$A:$A,0)),0)</f>
        <v/>
      </c>
      <c r="H212" s="32">
        <f>ROUND(D212*E212*(1-F212),2)</f>
        <v/>
      </c>
      <c r="I212" s="32">
        <f>ROUND(H212*G212,2)</f>
        <v/>
      </c>
    </row>
    <row r="213">
      <c r="A213" s="30" t="inlineStr">
        <is>
          <t>FA-2026-0066</t>
        </is>
      </c>
      <c r="B213" s="30" t="inlineStr">
        <is>
          <t>HO-05</t>
        </is>
      </c>
      <c r="C213" s="30">
        <f>IFERROR(INDEX(Produits!$B:$B,MATCH(B213,Produits!$A:$A,0)),"Réf inconnue")</f>
        <v/>
      </c>
      <c r="D213" s="30" t="n">
        <v>18</v>
      </c>
      <c r="E213" s="32">
        <f>IFERROR(INDEX(Produits!$D:$D,MATCH(B213,Produits!$A:$A,0)),0)</f>
        <v/>
      </c>
      <c r="F213" s="34" t="n">
        <v>0</v>
      </c>
      <c r="G213" s="35">
        <f>IFERROR(INDEX(Produits!$E:$E,MATCH(B213,Produits!$A:$A,0)),0)</f>
        <v/>
      </c>
      <c r="H213" s="32">
        <f>ROUND(D213*E213*(1-F213),2)</f>
        <v/>
      </c>
      <c r="I213" s="32">
        <f>ROUND(H213*G213,2)</f>
        <v/>
      </c>
    </row>
    <row r="214">
      <c r="A214" s="30" t="inlineStr">
        <is>
          <t>FA-2026-0067</t>
        </is>
      </c>
      <c r="B214" s="30" t="inlineStr">
        <is>
          <t>CF-D</t>
        </is>
      </c>
      <c r="C214" s="30">
        <f>IFERROR(INDEX(Produits!$B:$B,MATCH(B214,Produits!$A:$A,0)),"Réf inconnue")</f>
        <v/>
      </c>
      <c r="D214" s="30" t="n">
        <v>1</v>
      </c>
      <c r="E214" s="32">
        <f>IFERROR(INDEX(Produits!$D:$D,MATCH(B214,Produits!$A:$A,0)),0)</f>
        <v/>
      </c>
      <c r="F214" s="34" t="n">
        <v>0</v>
      </c>
      <c r="G214" s="35">
        <f>IFERROR(INDEX(Produits!$E:$E,MATCH(B214,Produits!$A:$A,0)),0)</f>
        <v/>
      </c>
      <c r="H214" s="32">
        <f>ROUND(D214*E214*(1-F214),2)</f>
        <v/>
      </c>
      <c r="I214" s="32">
        <f>ROUND(H214*G214,2)</f>
        <v/>
      </c>
    </row>
    <row r="215">
      <c r="A215" s="30" t="inlineStr">
        <is>
          <t>FA-2026-0067</t>
        </is>
      </c>
      <c r="B215" s="30" t="inlineStr">
        <is>
          <t>OL-V</t>
        </is>
      </c>
      <c r="C215" s="30">
        <f>IFERROR(INDEX(Produits!$B:$B,MATCH(B215,Produits!$A:$A,0)),"Réf inconnue")</f>
        <v/>
      </c>
      <c r="D215" s="30" t="n">
        <v>13</v>
      </c>
      <c r="E215" s="32">
        <f>IFERROR(INDEX(Produits!$D:$D,MATCH(B215,Produits!$A:$A,0)),0)</f>
        <v/>
      </c>
      <c r="F215" s="34" t="n">
        <v>0</v>
      </c>
      <c r="G215" s="35">
        <f>IFERROR(INDEX(Produits!$E:$E,MATCH(B215,Produits!$A:$A,0)),0)</f>
        <v/>
      </c>
      <c r="H215" s="32">
        <f>ROUND(D215*E215*(1-F215),2)</f>
        <v/>
      </c>
      <c r="I215" s="32">
        <f>ROUND(H215*G215,2)</f>
        <v/>
      </c>
    </row>
    <row r="216">
      <c r="A216" s="30" t="inlineStr">
        <is>
          <t>FA-2026-0067</t>
        </is>
      </c>
      <c r="B216" s="30" t="inlineStr">
        <is>
          <t>CF-P</t>
        </is>
      </c>
      <c r="C216" s="30">
        <f>IFERROR(INDEX(Produits!$B:$B,MATCH(B216,Produits!$A:$A,0)),"Réf inconnue")</f>
        <v/>
      </c>
      <c r="D216" s="30" t="n">
        <v>3</v>
      </c>
      <c r="E216" s="32">
        <f>IFERROR(INDEX(Produits!$D:$D,MATCH(B216,Produits!$A:$A,0)),0)</f>
        <v/>
      </c>
      <c r="F216" s="34" t="n">
        <v>0.03</v>
      </c>
      <c r="G216" s="35">
        <f>IFERROR(INDEX(Produits!$E:$E,MATCH(B216,Produits!$A:$A,0)),0)</f>
        <v/>
      </c>
      <c r="H216" s="32">
        <f>ROUND(D216*E216*(1-F216),2)</f>
        <v/>
      </c>
      <c r="I216" s="32">
        <f>ROUND(H216*G216,2)</f>
        <v/>
      </c>
    </row>
    <row r="217">
      <c r="A217" s="30" t="inlineStr">
        <is>
          <t>FA-2026-0067</t>
        </is>
      </c>
      <c r="B217" s="30" t="inlineStr">
        <is>
          <t>OL-N</t>
        </is>
      </c>
      <c r="C217" s="30">
        <f>IFERROR(INDEX(Produits!$B:$B,MATCH(B217,Produits!$A:$A,0)),"Réf inconnue")</f>
        <v/>
      </c>
      <c r="D217" s="30" t="n">
        <v>28</v>
      </c>
      <c r="E217" s="32">
        <f>IFERROR(INDEX(Produits!$D:$D,MATCH(B217,Produits!$A:$A,0)),0)</f>
        <v/>
      </c>
      <c r="F217" s="34" t="n">
        <v>0</v>
      </c>
      <c r="G217" s="35">
        <f>IFERROR(INDEX(Produits!$E:$E,MATCH(B217,Produits!$A:$A,0)),0)</f>
        <v/>
      </c>
      <c r="H217" s="32">
        <f>ROUND(D217*E217*(1-F217),2)</f>
        <v/>
      </c>
      <c r="I217" s="32">
        <f>ROUND(H217*G217,2)</f>
        <v/>
      </c>
    </row>
    <row r="218">
      <c r="A218" s="30" t="inlineStr">
        <is>
          <t>FA-2026-0068</t>
        </is>
      </c>
      <c r="B218" s="30" t="inlineStr">
        <is>
          <t>HO-5</t>
        </is>
      </c>
      <c r="C218" s="30">
        <f>IFERROR(INDEX(Produits!$B:$B,MATCH(B218,Produits!$A:$A,0)),"Réf inconnue")</f>
        <v/>
      </c>
      <c r="D218" s="30" t="n">
        <v>14</v>
      </c>
      <c r="E218" s="32">
        <f>IFERROR(INDEX(Produits!$D:$D,MATCH(B218,Produits!$A:$A,0)),0)</f>
        <v/>
      </c>
      <c r="F218" s="34" t="n">
        <v>0</v>
      </c>
      <c r="G218" s="35">
        <f>IFERROR(INDEX(Produits!$E:$E,MATCH(B218,Produits!$A:$A,0)),0)</f>
        <v/>
      </c>
      <c r="H218" s="32">
        <f>ROUND(D218*E218*(1-F218),2)</f>
        <v/>
      </c>
      <c r="I218" s="32">
        <f>ROUND(H218*G218,2)</f>
        <v/>
      </c>
    </row>
    <row r="219">
      <c r="A219" s="30" t="inlineStr">
        <is>
          <t>FA-2026-0068</t>
        </is>
      </c>
      <c r="B219" s="30" t="inlineStr">
        <is>
          <t>TP-O</t>
        </is>
      </c>
      <c r="C219" s="30">
        <f>IFERROR(INDEX(Produits!$B:$B,MATCH(B219,Produits!$A:$A,0)),"Réf inconnue")</f>
        <v/>
      </c>
      <c r="D219" s="30" t="n">
        <v>9</v>
      </c>
      <c r="E219" s="32">
        <f>IFERROR(INDEX(Produits!$D:$D,MATCH(B219,Produits!$A:$A,0)),0)</f>
        <v/>
      </c>
      <c r="F219" s="34" t="n">
        <v>0</v>
      </c>
      <c r="G219" s="35">
        <f>IFERROR(INDEX(Produits!$E:$E,MATCH(B219,Produits!$A:$A,0)),0)</f>
        <v/>
      </c>
      <c r="H219" s="32">
        <f>ROUND(D219*E219*(1-F219),2)</f>
        <v/>
      </c>
      <c r="I219" s="32">
        <f>ROUND(H219*G219,2)</f>
        <v/>
      </c>
    </row>
    <row r="220">
      <c r="A220" s="30" t="inlineStr">
        <is>
          <t>FA-2026-0068</t>
        </is>
      </c>
      <c r="B220" s="30" t="inlineStr">
        <is>
          <t>SV-O</t>
        </is>
      </c>
      <c r="C220" s="30">
        <f>IFERROR(INDEX(Produits!$B:$B,MATCH(B220,Produits!$A:$A,0)),"Réf inconnue")</f>
        <v/>
      </c>
      <c r="D220" s="30" t="n">
        <v>5</v>
      </c>
      <c r="E220" s="32">
        <f>IFERROR(INDEX(Produits!$D:$D,MATCH(B220,Produits!$A:$A,0)),0)</f>
        <v/>
      </c>
      <c r="F220" s="34" t="n">
        <v>0</v>
      </c>
      <c r="G220" s="35">
        <f>IFERROR(INDEX(Produits!$E:$E,MATCH(B220,Produits!$A:$A,0)),0)</f>
        <v/>
      </c>
      <c r="H220" s="32">
        <f>ROUND(D220*E220*(1-F220),2)</f>
        <v/>
      </c>
      <c r="I220" s="32">
        <f>ROUND(H220*G220,2)</f>
        <v/>
      </c>
    </row>
    <row r="221">
      <c r="A221" s="30" t="inlineStr">
        <is>
          <t>FA-2026-0068</t>
        </is>
      </c>
      <c r="B221" s="30" t="inlineStr">
        <is>
          <t>HO-1</t>
        </is>
      </c>
      <c r="C221" s="30">
        <f>IFERROR(INDEX(Produits!$B:$B,MATCH(B221,Produits!$A:$A,0)),"Réf inconnue")</f>
        <v/>
      </c>
      <c r="D221" s="30" t="n">
        <v>13</v>
      </c>
      <c r="E221" s="32">
        <f>IFERROR(INDEX(Produits!$D:$D,MATCH(B221,Produits!$A:$A,0)),0)</f>
        <v/>
      </c>
      <c r="F221" s="34" t="n">
        <v>0</v>
      </c>
      <c r="G221" s="35">
        <f>IFERROR(INDEX(Produits!$E:$E,MATCH(B221,Produits!$A:$A,0)),0)</f>
        <v/>
      </c>
      <c r="H221" s="32">
        <f>ROUND(D221*E221*(1-F221),2)</f>
        <v/>
      </c>
      <c r="I221" s="32">
        <f>ROUND(H221*G221,2)</f>
        <v/>
      </c>
    </row>
    <row r="222">
      <c r="A222" s="30" t="inlineStr">
        <is>
          <t>FA-2026-0068</t>
        </is>
      </c>
      <c r="B222" s="30" t="inlineStr">
        <is>
          <t>CF-D</t>
        </is>
      </c>
      <c r="C222" s="30">
        <f>IFERROR(INDEX(Produits!$B:$B,MATCH(B222,Produits!$A:$A,0)),"Réf inconnue")</f>
        <v/>
      </c>
      <c r="D222" s="30" t="n">
        <v>1</v>
      </c>
      <c r="E222" s="32">
        <f>IFERROR(INDEX(Produits!$D:$D,MATCH(B222,Produits!$A:$A,0)),0)</f>
        <v/>
      </c>
      <c r="F222" s="34" t="n">
        <v>0</v>
      </c>
      <c r="G222" s="35">
        <f>IFERROR(INDEX(Produits!$E:$E,MATCH(B222,Produits!$A:$A,0)),0)</f>
        <v/>
      </c>
      <c r="H222" s="32">
        <f>ROUND(D222*E222*(1-F222),2)</f>
        <v/>
      </c>
      <c r="I222" s="32">
        <f>ROUND(H222*G222,2)</f>
        <v/>
      </c>
    </row>
    <row r="223">
      <c r="A223" s="30" t="inlineStr">
        <is>
          <t>FA-2026-0069</t>
        </is>
      </c>
      <c r="B223" s="30" t="inlineStr">
        <is>
          <t>CF-D</t>
        </is>
      </c>
      <c r="C223" s="30">
        <f>IFERROR(INDEX(Produits!$B:$B,MATCH(B223,Produits!$A:$A,0)),"Réf inconnue")</f>
        <v/>
      </c>
      <c r="D223" s="30" t="n">
        <v>7</v>
      </c>
      <c r="E223" s="32">
        <f>IFERROR(INDEX(Produits!$D:$D,MATCH(B223,Produits!$A:$A,0)),0)</f>
        <v/>
      </c>
      <c r="F223" s="34" t="n">
        <v>0.03</v>
      </c>
      <c r="G223" s="35">
        <f>IFERROR(INDEX(Produits!$E:$E,MATCH(B223,Produits!$A:$A,0)),0)</f>
        <v/>
      </c>
      <c r="H223" s="32">
        <f>ROUND(D223*E223*(1-F223),2)</f>
        <v/>
      </c>
      <c r="I223" s="32">
        <f>ROUND(H223*G223,2)</f>
        <v/>
      </c>
    </row>
    <row r="224">
      <c r="A224" s="30" t="inlineStr">
        <is>
          <t>FA-2026-0069</t>
        </is>
      </c>
      <c r="B224" s="30" t="inlineStr">
        <is>
          <t>HO-5</t>
        </is>
      </c>
      <c r="C224" s="30">
        <f>IFERROR(INDEX(Produits!$B:$B,MATCH(B224,Produits!$A:$A,0)),"Réf inconnue")</f>
        <v/>
      </c>
      <c r="D224" s="30" t="n">
        <v>56</v>
      </c>
      <c r="E224" s="32">
        <f>IFERROR(INDEX(Produits!$D:$D,MATCH(B224,Produits!$A:$A,0)),0)</f>
        <v/>
      </c>
      <c r="F224" s="34" t="n">
        <v>0</v>
      </c>
      <c r="G224" s="35">
        <f>IFERROR(INDEX(Produits!$E:$E,MATCH(B224,Produits!$A:$A,0)),0)</f>
        <v/>
      </c>
      <c r="H224" s="32">
        <f>ROUND(D224*E224*(1-F224),2)</f>
        <v/>
      </c>
      <c r="I224" s="32">
        <f>ROUND(H224*G224,2)</f>
        <v/>
      </c>
    </row>
    <row r="225">
      <c r="A225" s="30" t="inlineStr">
        <is>
          <t>FA-2026-0069</t>
        </is>
      </c>
      <c r="B225" s="30" t="inlineStr">
        <is>
          <t>HO-05</t>
        </is>
      </c>
      <c r="C225" s="30">
        <f>IFERROR(INDEX(Produits!$B:$B,MATCH(B225,Produits!$A:$A,0)),"Réf inconnue")</f>
        <v/>
      </c>
      <c r="D225" s="30" t="n">
        <v>58</v>
      </c>
      <c r="E225" s="32">
        <f>IFERROR(INDEX(Produits!$D:$D,MATCH(B225,Produits!$A:$A,0)),0)</f>
        <v/>
      </c>
      <c r="F225" s="34" t="n">
        <v>0.05</v>
      </c>
      <c r="G225" s="35">
        <f>IFERROR(INDEX(Produits!$E:$E,MATCH(B225,Produits!$A:$A,0)),0)</f>
        <v/>
      </c>
      <c r="H225" s="32">
        <f>ROUND(D225*E225*(1-F225),2)</f>
        <v/>
      </c>
      <c r="I225" s="32">
        <f>ROUND(H225*G225,2)</f>
        <v/>
      </c>
    </row>
    <row r="226">
      <c r="A226" s="30" t="inlineStr">
        <is>
          <t>FA-2026-0070</t>
        </is>
      </c>
      <c r="B226" s="30" t="inlineStr">
        <is>
          <t>TP-O</t>
        </is>
      </c>
      <c r="C226" s="30">
        <f>IFERROR(INDEX(Produits!$B:$B,MATCH(B226,Produits!$A:$A,0)),"Réf inconnue")</f>
        <v/>
      </c>
      <c r="D226" s="30" t="n">
        <v>21</v>
      </c>
      <c r="E226" s="32">
        <f>IFERROR(INDEX(Produits!$D:$D,MATCH(B226,Produits!$A:$A,0)),0)</f>
        <v/>
      </c>
      <c r="F226" s="34" t="n">
        <v>0</v>
      </c>
      <c r="G226" s="35">
        <f>IFERROR(INDEX(Produits!$E:$E,MATCH(B226,Produits!$A:$A,0)),0)</f>
        <v/>
      </c>
      <c r="H226" s="32">
        <f>ROUND(D226*E226*(1-F226),2)</f>
        <v/>
      </c>
      <c r="I226" s="32">
        <f>ROUND(H226*G226,2)</f>
        <v/>
      </c>
    </row>
    <row r="227">
      <c r="A227" s="30" t="inlineStr">
        <is>
          <t>FA-2026-0070</t>
        </is>
      </c>
      <c r="B227" s="30" t="inlineStr">
        <is>
          <t>SV-O</t>
        </is>
      </c>
      <c r="C227" s="30">
        <f>IFERROR(INDEX(Produits!$B:$B,MATCH(B227,Produits!$A:$A,0)),"Réf inconnue")</f>
        <v/>
      </c>
      <c r="D227" s="30" t="n">
        <v>13</v>
      </c>
      <c r="E227" s="32">
        <f>IFERROR(INDEX(Produits!$D:$D,MATCH(B227,Produits!$A:$A,0)),0)</f>
        <v/>
      </c>
      <c r="F227" s="34" t="n">
        <v>0</v>
      </c>
      <c r="G227" s="35">
        <f>IFERROR(INDEX(Produits!$E:$E,MATCH(B227,Produits!$A:$A,0)),0)</f>
        <v/>
      </c>
      <c r="H227" s="32">
        <f>ROUND(D227*E227*(1-F227),2)</f>
        <v/>
      </c>
      <c r="I227" s="32">
        <f>ROUND(H227*G227,2)</f>
        <v/>
      </c>
    </row>
    <row r="228">
      <c r="A228" s="30" t="inlineStr">
        <is>
          <t>FA-2026-0070</t>
        </is>
      </c>
      <c r="B228" s="30" t="inlineStr">
        <is>
          <t>OL-N</t>
        </is>
      </c>
      <c r="C228" s="30">
        <f>IFERROR(INDEX(Produits!$B:$B,MATCH(B228,Produits!$A:$A,0)),"Réf inconnue")</f>
        <v/>
      </c>
      <c r="D228" s="30" t="n">
        <v>7</v>
      </c>
      <c r="E228" s="32">
        <f>IFERROR(INDEX(Produits!$D:$D,MATCH(B228,Produits!$A:$A,0)),0)</f>
        <v/>
      </c>
      <c r="F228" s="34" t="n">
        <v>0</v>
      </c>
      <c r="G228" s="35">
        <f>IFERROR(INDEX(Produits!$E:$E,MATCH(B228,Produits!$A:$A,0)),0)</f>
        <v/>
      </c>
      <c r="H228" s="32">
        <f>ROUND(D228*E228*(1-F228),2)</f>
        <v/>
      </c>
      <c r="I228" s="32">
        <f>ROUND(H228*G228,2)</f>
        <v/>
      </c>
    </row>
    <row r="229">
      <c r="A229" s="30" t="inlineStr">
        <is>
          <t>FA-2026-0071</t>
        </is>
      </c>
      <c r="B229" s="30" t="inlineStr">
        <is>
          <t>SV-O</t>
        </is>
      </c>
      <c r="C229" s="30">
        <f>IFERROR(INDEX(Produits!$B:$B,MATCH(B229,Produits!$A:$A,0)),"Réf inconnue")</f>
        <v/>
      </c>
      <c r="D229" s="30" t="n">
        <v>22</v>
      </c>
      <c r="E229" s="32">
        <f>IFERROR(INDEX(Produits!$D:$D,MATCH(B229,Produits!$A:$A,0)),0)</f>
        <v/>
      </c>
      <c r="F229" s="34" t="n">
        <v>0.05</v>
      </c>
      <c r="G229" s="35">
        <f>IFERROR(INDEX(Produits!$E:$E,MATCH(B229,Produits!$A:$A,0)),0)</f>
        <v/>
      </c>
      <c r="H229" s="32">
        <f>ROUND(D229*E229*(1-F229),2)</f>
        <v/>
      </c>
      <c r="I229" s="32">
        <f>ROUND(H229*G229,2)</f>
        <v/>
      </c>
    </row>
    <row r="230">
      <c r="A230" s="30" t="inlineStr">
        <is>
          <t>FA-2026-0071</t>
        </is>
      </c>
      <c r="B230" s="30" t="inlineStr">
        <is>
          <t>OL-N</t>
        </is>
      </c>
      <c r="C230" s="30">
        <f>IFERROR(INDEX(Produits!$B:$B,MATCH(B230,Produits!$A:$A,0)),"Réf inconnue")</f>
        <v/>
      </c>
      <c r="D230" s="30" t="n">
        <v>28</v>
      </c>
      <c r="E230" s="32">
        <f>IFERROR(INDEX(Produits!$D:$D,MATCH(B230,Produits!$A:$A,0)),0)</f>
        <v/>
      </c>
      <c r="F230" s="34" t="n">
        <v>0</v>
      </c>
      <c r="G230" s="35">
        <f>IFERROR(INDEX(Produits!$E:$E,MATCH(B230,Produits!$A:$A,0)),0)</f>
        <v/>
      </c>
      <c r="H230" s="32">
        <f>ROUND(D230*E230*(1-F230),2)</f>
        <v/>
      </c>
      <c r="I230" s="32">
        <f>ROUND(H230*G230,2)</f>
        <v/>
      </c>
    </row>
    <row r="231">
      <c r="A231" s="30" t="inlineStr">
        <is>
          <t>FA-2026-0072</t>
        </is>
      </c>
      <c r="B231" s="30" t="inlineStr">
        <is>
          <t>CF-D</t>
        </is>
      </c>
      <c r="C231" s="30">
        <f>IFERROR(INDEX(Produits!$B:$B,MATCH(B231,Produits!$A:$A,0)),"Réf inconnue")</f>
        <v/>
      </c>
      <c r="D231" s="30" t="n">
        <v>10</v>
      </c>
      <c r="E231" s="32">
        <f>IFERROR(INDEX(Produits!$D:$D,MATCH(B231,Produits!$A:$A,0)),0)</f>
        <v/>
      </c>
      <c r="F231" s="34" t="n">
        <v>0.05</v>
      </c>
      <c r="G231" s="35">
        <f>IFERROR(INDEX(Produits!$E:$E,MATCH(B231,Produits!$A:$A,0)),0)</f>
        <v/>
      </c>
      <c r="H231" s="32">
        <f>ROUND(D231*E231*(1-F231),2)</f>
        <v/>
      </c>
      <c r="I231" s="32">
        <f>ROUND(H231*G231,2)</f>
        <v/>
      </c>
    </row>
    <row r="232">
      <c r="A232" s="30" t="inlineStr">
        <is>
          <t>FA-2026-0072</t>
        </is>
      </c>
      <c r="B232" s="30" t="inlineStr">
        <is>
          <t>TP-O</t>
        </is>
      </c>
      <c r="C232" s="30">
        <f>IFERROR(INDEX(Produits!$B:$B,MATCH(B232,Produits!$A:$A,0)),"Réf inconnue")</f>
        <v/>
      </c>
      <c r="D232" s="30" t="n">
        <v>38</v>
      </c>
      <c r="E232" s="32">
        <f>IFERROR(INDEX(Produits!$D:$D,MATCH(B232,Produits!$A:$A,0)),0)</f>
        <v/>
      </c>
      <c r="F232" s="34" t="n">
        <v>0</v>
      </c>
      <c r="G232" s="35">
        <f>IFERROR(INDEX(Produits!$E:$E,MATCH(B232,Produits!$A:$A,0)),0)</f>
        <v/>
      </c>
      <c r="H232" s="32">
        <f>ROUND(D232*E232*(1-F232),2)</f>
        <v/>
      </c>
      <c r="I232" s="32">
        <f>ROUND(H232*G232,2)</f>
        <v/>
      </c>
    </row>
    <row r="233">
      <c r="A233" s="30" t="inlineStr">
        <is>
          <t>FA-2026-0072</t>
        </is>
      </c>
      <c r="B233" s="30" t="inlineStr">
        <is>
          <t>SV-O</t>
        </is>
      </c>
      <c r="C233" s="30">
        <f>IFERROR(INDEX(Produits!$B:$B,MATCH(B233,Produits!$A:$A,0)),"Réf inconnue")</f>
        <v/>
      </c>
      <c r="D233" s="30" t="n">
        <v>52</v>
      </c>
      <c r="E233" s="32">
        <f>IFERROR(INDEX(Produits!$D:$D,MATCH(B233,Produits!$A:$A,0)),0)</f>
        <v/>
      </c>
      <c r="F233" s="34" t="n">
        <v>0.03</v>
      </c>
      <c r="G233" s="35">
        <f>IFERROR(INDEX(Produits!$E:$E,MATCH(B233,Produits!$A:$A,0)),0)</f>
        <v/>
      </c>
      <c r="H233" s="32">
        <f>ROUND(D233*E233*(1-F233),2)</f>
        <v/>
      </c>
      <c r="I233" s="32">
        <f>ROUND(H233*G233,2)</f>
        <v/>
      </c>
    </row>
    <row r="234">
      <c r="A234" s="30" t="inlineStr">
        <is>
          <t>FA-2026-0072</t>
        </is>
      </c>
      <c r="B234" s="30" t="inlineStr">
        <is>
          <t>HO-5</t>
        </is>
      </c>
      <c r="C234" s="30">
        <f>IFERROR(INDEX(Produits!$B:$B,MATCH(B234,Produits!$A:$A,0)),"Réf inconnue")</f>
        <v/>
      </c>
      <c r="D234" s="30" t="n">
        <v>52</v>
      </c>
      <c r="E234" s="32">
        <f>IFERROR(INDEX(Produits!$D:$D,MATCH(B234,Produits!$A:$A,0)),0)</f>
        <v/>
      </c>
      <c r="F234" s="34" t="n">
        <v>0.03</v>
      </c>
      <c r="G234" s="35">
        <f>IFERROR(INDEX(Produits!$E:$E,MATCH(B234,Produits!$A:$A,0)),0)</f>
        <v/>
      </c>
      <c r="H234" s="32">
        <f>ROUND(D234*E234*(1-F234),2)</f>
        <v/>
      </c>
      <c r="I234" s="32">
        <f>ROUND(H234*G234,2)</f>
        <v/>
      </c>
    </row>
    <row r="235">
      <c r="A235" s="30" t="inlineStr">
        <is>
          <t>FA-2026-0072</t>
        </is>
      </c>
      <c r="B235" s="30" t="inlineStr">
        <is>
          <t>OL-V</t>
        </is>
      </c>
      <c r="C235" s="30">
        <f>IFERROR(INDEX(Produits!$B:$B,MATCH(B235,Produits!$A:$A,0)),"Réf inconnue")</f>
        <v/>
      </c>
      <c r="D235" s="30" t="n">
        <v>54</v>
      </c>
      <c r="E235" s="32">
        <f>IFERROR(INDEX(Produits!$D:$D,MATCH(B235,Produits!$A:$A,0)),0)</f>
        <v/>
      </c>
      <c r="F235" s="34" t="n">
        <v>0.05</v>
      </c>
      <c r="G235" s="35">
        <f>IFERROR(INDEX(Produits!$E:$E,MATCH(B235,Produits!$A:$A,0)),0)</f>
        <v/>
      </c>
      <c r="H235" s="32">
        <f>ROUND(D235*E235*(1-F235),2)</f>
        <v/>
      </c>
      <c r="I235" s="32">
        <f>ROUND(H235*G235,2)</f>
        <v/>
      </c>
    </row>
    <row r="236">
      <c r="A236" s="30" t="inlineStr">
        <is>
          <t>FA-2026-0073</t>
        </is>
      </c>
      <c r="B236" s="30" t="inlineStr">
        <is>
          <t>HO-1</t>
        </is>
      </c>
      <c r="C236" s="30">
        <f>IFERROR(INDEX(Produits!$B:$B,MATCH(B236,Produits!$A:$A,0)),"Réf inconnue")</f>
        <v/>
      </c>
      <c r="D236" s="30" t="n">
        <v>54</v>
      </c>
      <c r="E236" s="32">
        <f>IFERROR(INDEX(Produits!$D:$D,MATCH(B236,Produits!$A:$A,0)),0)</f>
        <v/>
      </c>
      <c r="F236" s="34" t="n">
        <v>0</v>
      </c>
      <c r="G236" s="35">
        <f>IFERROR(INDEX(Produits!$E:$E,MATCH(B236,Produits!$A:$A,0)),0)</f>
        <v/>
      </c>
      <c r="H236" s="32">
        <f>ROUND(D236*E236*(1-F236),2)</f>
        <v/>
      </c>
      <c r="I236" s="32">
        <f>ROUND(H236*G236,2)</f>
        <v/>
      </c>
    </row>
    <row r="237">
      <c r="A237" s="30" t="inlineStr">
        <is>
          <t>FA-2026-0073</t>
        </is>
      </c>
      <c r="B237" s="30" t="inlineStr">
        <is>
          <t>HO-T3</t>
        </is>
      </c>
      <c r="C237" s="30">
        <f>IFERROR(INDEX(Produits!$B:$B,MATCH(B237,Produits!$A:$A,0)),"Réf inconnue")</f>
        <v/>
      </c>
      <c r="D237" s="30" t="n">
        <v>35</v>
      </c>
      <c r="E237" s="32">
        <f>IFERROR(INDEX(Produits!$D:$D,MATCH(B237,Produits!$A:$A,0)),0)</f>
        <v/>
      </c>
      <c r="F237" s="34" t="n">
        <v>0</v>
      </c>
      <c r="G237" s="35">
        <f>IFERROR(INDEX(Produits!$E:$E,MATCH(B237,Produits!$A:$A,0)),0)</f>
        <v/>
      </c>
      <c r="H237" s="32">
        <f>ROUND(D237*E237*(1-F237),2)</f>
        <v/>
      </c>
      <c r="I237" s="32">
        <f>ROUND(H237*G237,2)</f>
        <v/>
      </c>
    </row>
    <row r="238">
      <c r="A238" s="30" t="inlineStr">
        <is>
          <t>FA-2026-0073</t>
        </is>
      </c>
      <c r="B238" s="30" t="inlineStr">
        <is>
          <t>SV-O</t>
        </is>
      </c>
      <c r="C238" s="30">
        <f>IFERROR(INDEX(Produits!$B:$B,MATCH(B238,Produits!$A:$A,0)),"Réf inconnue")</f>
        <v/>
      </c>
      <c r="D238" s="30" t="n">
        <v>51</v>
      </c>
      <c r="E238" s="32">
        <f>IFERROR(INDEX(Produits!$D:$D,MATCH(B238,Produits!$A:$A,0)),0)</f>
        <v/>
      </c>
      <c r="F238" s="34" t="n">
        <v>0</v>
      </c>
      <c r="G238" s="35">
        <f>IFERROR(INDEX(Produits!$E:$E,MATCH(B238,Produits!$A:$A,0)),0)</f>
        <v/>
      </c>
      <c r="H238" s="32">
        <f>ROUND(D238*E238*(1-F238),2)</f>
        <v/>
      </c>
      <c r="I238" s="32">
        <f>ROUND(H238*G238,2)</f>
        <v/>
      </c>
    </row>
    <row r="239">
      <c r="A239" s="30" t="inlineStr">
        <is>
          <t>FA-2026-0073</t>
        </is>
      </c>
      <c r="B239" s="30" t="inlineStr">
        <is>
          <t>OL-V</t>
        </is>
      </c>
      <c r="C239" s="30">
        <f>IFERROR(INDEX(Produits!$B:$B,MATCH(B239,Produits!$A:$A,0)),"Réf inconnue")</f>
        <v/>
      </c>
      <c r="D239" s="30" t="n">
        <v>38</v>
      </c>
      <c r="E239" s="32">
        <f>IFERROR(INDEX(Produits!$D:$D,MATCH(B239,Produits!$A:$A,0)),0)</f>
        <v/>
      </c>
      <c r="F239" s="34" t="n">
        <v>0</v>
      </c>
      <c r="G239" s="35">
        <f>IFERROR(INDEX(Produits!$E:$E,MATCH(B239,Produits!$A:$A,0)),0)</f>
        <v/>
      </c>
      <c r="H239" s="32">
        <f>ROUND(D239*E239*(1-F239),2)</f>
        <v/>
      </c>
      <c r="I239" s="32">
        <f>ROUND(H239*G239,2)</f>
        <v/>
      </c>
    </row>
    <row r="240">
      <c r="A240" s="30" t="inlineStr">
        <is>
          <t>FA-2026-0074</t>
        </is>
      </c>
      <c r="B240" s="30" t="inlineStr">
        <is>
          <t>SV-O</t>
        </is>
      </c>
      <c r="C240" s="30">
        <f>IFERROR(INDEX(Produits!$B:$B,MATCH(B240,Produits!$A:$A,0)),"Réf inconnue")</f>
        <v/>
      </c>
      <c r="D240" s="30" t="n">
        <v>3</v>
      </c>
      <c r="E240" s="32">
        <f>IFERROR(INDEX(Produits!$D:$D,MATCH(B240,Produits!$A:$A,0)),0)</f>
        <v/>
      </c>
      <c r="F240" s="34" t="n">
        <v>0</v>
      </c>
      <c r="G240" s="35">
        <f>IFERROR(INDEX(Produits!$E:$E,MATCH(B240,Produits!$A:$A,0)),0)</f>
        <v/>
      </c>
      <c r="H240" s="32">
        <f>ROUND(D240*E240*(1-F240),2)</f>
        <v/>
      </c>
      <c r="I240" s="32">
        <f>ROUND(H240*G240,2)</f>
        <v/>
      </c>
    </row>
    <row r="241">
      <c r="A241" s="30" t="inlineStr">
        <is>
          <t>FA-2026-0074</t>
        </is>
      </c>
      <c r="B241" s="30" t="inlineStr">
        <is>
          <t>HO-1</t>
        </is>
      </c>
      <c r="C241" s="30">
        <f>IFERROR(INDEX(Produits!$B:$B,MATCH(B241,Produits!$A:$A,0)),"Réf inconnue")</f>
        <v/>
      </c>
      <c r="D241" s="30" t="n">
        <v>4</v>
      </c>
      <c r="E241" s="32">
        <f>IFERROR(INDEX(Produits!$D:$D,MATCH(B241,Produits!$A:$A,0)),0)</f>
        <v/>
      </c>
      <c r="F241" s="34" t="n">
        <v>0</v>
      </c>
      <c r="G241" s="35">
        <f>IFERROR(INDEX(Produits!$E:$E,MATCH(B241,Produits!$A:$A,0)),0)</f>
        <v/>
      </c>
      <c r="H241" s="32">
        <f>ROUND(D241*E241*(1-F241),2)</f>
        <v/>
      </c>
      <c r="I241" s="32">
        <f>ROUND(H241*G241,2)</f>
        <v/>
      </c>
    </row>
    <row r="242">
      <c r="A242" s="30" t="inlineStr">
        <is>
          <t>FA-2026-0074</t>
        </is>
      </c>
      <c r="B242" s="30" t="inlineStr">
        <is>
          <t>HO-5</t>
        </is>
      </c>
      <c r="C242" s="30">
        <f>IFERROR(INDEX(Produits!$B:$B,MATCH(B242,Produits!$A:$A,0)),"Réf inconnue")</f>
        <v/>
      </c>
      <c r="D242" s="30" t="n">
        <v>8</v>
      </c>
      <c r="E242" s="32">
        <f>IFERROR(INDEX(Produits!$D:$D,MATCH(B242,Produits!$A:$A,0)),0)</f>
        <v/>
      </c>
      <c r="F242" s="34" t="n">
        <v>0</v>
      </c>
      <c r="G242" s="35">
        <f>IFERROR(INDEX(Produits!$E:$E,MATCH(B242,Produits!$A:$A,0)),0)</f>
        <v/>
      </c>
      <c r="H242" s="32">
        <f>ROUND(D242*E242*(1-F242),2)</f>
        <v/>
      </c>
      <c r="I242" s="32">
        <f>ROUND(H242*G242,2)</f>
        <v/>
      </c>
    </row>
    <row r="243">
      <c r="A243" s="30" t="inlineStr">
        <is>
          <t>FA-2026-0074</t>
        </is>
      </c>
      <c r="B243" s="30" t="inlineStr">
        <is>
          <t>CF-D</t>
        </is>
      </c>
      <c r="C243" s="30">
        <f>IFERROR(INDEX(Produits!$B:$B,MATCH(B243,Produits!$A:$A,0)),"Réf inconnue")</f>
        <v/>
      </c>
      <c r="D243" s="30" t="n">
        <v>1</v>
      </c>
      <c r="E243" s="32">
        <f>IFERROR(INDEX(Produits!$D:$D,MATCH(B243,Produits!$A:$A,0)),0)</f>
        <v/>
      </c>
      <c r="F243" s="34" t="n">
        <v>0</v>
      </c>
      <c r="G243" s="35">
        <f>IFERROR(INDEX(Produits!$E:$E,MATCH(B243,Produits!$A:$A,0)),0)</f>
        <v/>
      </c>
      <c r="H243" s="32">
        <f>ROUND(D243*E243*(1-F243),2)</f>
        <v/>
      </c>
      <c r="I243" s="32">
        <f>ROUND(H243*G243,2)</f>
        <v/>
      </c>
    </row>
    <row r="244">
      <c r="A244" s="30" t="inlineStr">
        <is>
          <t>FA-2026-0074</t>
        </is>
      </c>
      <c r="B244" s="30" t="inlineStr">
        <is>
          <t>CF-P</t>
        </is>
      </c>
      <c r="C244" s="30">
        <f>IFERROR(INDEX(Produits!$B:$B,MATCH(B244,Produits!$A:$A,0)),"Réf inconnue")</f>
        <v/>
      </c>
      <c r="D244" s="30" t="n">
        <v>1</v>
      </c>
      <c r="E244" s="32">
        <f>IFERROR(INDEX(Produits!$D:$D,MATCH(B244,Produits!$A:$A,0)),0)</f>
        <v/>
      </c>
      <c r="F244" s="34" t="n">
        <v>0</v>
      </c>
      <c r="G244" s="35">
        <f>IFERROR(INDEX(Produits!$E:$E,MATCH(B244,Produits!$A:$A,0)),0)</f>
        <v/>
      </c>
      <c r="H244" s="32">
        <f>ROUND(D244*E244*(1-F244),2)</f>
        <v/>
      </c>
      <c r="I244" s="32">
        <f>ROUND(H244*G244,2)</f>
        <v/>
      </c>
    </row>
    <row r="245">
      <c r="A245" s="30" t="inlineStr">
        <is>
          <t>FA-2026-0075</t>
        </is>
      </c>
      <c r="B245" s="30" t="inlineStr">
        <is>
          <t>CF-P</t>
        </is>
      </c>
      <c r="C245" s="30">
        <f>IFERROR(INDEX(Produits!$B:$B,MATCH(B245,Produits!$A:$A,0)),"Réf inconnue")</f>
        <v/>
      </c>
      <c r="D245" s="30" t="n">
        <v>10</v>
      </c>
      <c r="E245" s="32">
        <f>IFERROR(INDEX(Produits!$D:$D,MATCH(B245,Produits!$A:$A,0)),0)</f>
        <v/>
      </c>
      <c r="F245" s="34" t="n">
        <v>0.05</v>
      </c>
      <c r="G245" s="35">
        <f>IFERROR(INDEX(Produits!$E:$E,MATCH(B245,Produits!$A:$A,0)),0)</f>
        <v/>
      </c>
      <c r="H245" s="32">
        <f>ROUND(D245*E245*(1-F245),2)</f>
        <v/>
      </c>
      <c r="I245" s="32">
        <f>ROUND(H245*G245,2)</f>
        <v/>
      </c>
    </row>
    <row r="246">
      <c r="A246" s="30" t="inlineStr">
        <is>
          <t>FA-2026-0075</t>
        </is>
      </c>
      <c r="B246" s="30" t="inlineStr">
        <is>
          <t>HO-5</t>
        </is>
      </c>
      <c r="C246" s="30">
        <f>IFERROR(INDEX(Produits!$B:$B,MATCH(B246,Produits!$A:$A,0)),"Réf inconnue")</f>
        <v/>
      </c>
      <c r="D246" s="30" t="n">
        <v>68</v>
      </c>
      <c r="E246" s="32">
        <f>IFERROR(INDEX(Produits!$D:$D,MATCH(B246,Produits!$A:$A,0)),0)</f>
        <v/>
      </c>
      <c r="F246" s="34" t="n">
        <v>0.03</v>
      </c>
      <c r="G246" s="35">
        <f>IFERROR(INDEX(Produits!$E:$E,MATCH(B246,Produits!$A:$A,0)),0)</f>
        <v/>
      </c>
      <c r="H246" s="32">
        <f>ROUND(D246*E246*(1-F246),2)</f>
        <v/>
      </c>
      <c r="I246" s="32">
        <f>ROUND(H246*G246,2)</f>
        <v/>
      </c>
    </row>
    <row r="247">
      <c r="A247" s="30" t="inlineStr">
        <is>
          <t>FA-2026-0076</t>
        </is>
      </c>
      <c r="B247" s="30" t="inlineStr">
        <is>
          <t>SV-O</t>
        </is>
      </c>
      <c r="C247" s="30">
        <f>IFERROR(INDEX(Produits!$B:$B,MATCH(B247,Produits!$A:$A,0)),"Réf inconnue")</f>
        <v/>
      </c>
      <c r="D247" s="30" t="n">
        <v>15</v>
      </c>
      <c r="E247" s="32">
        <f>IFERROR(INDEX(Produits!$D:$D,MATCH(B247,Produits!$A:$A,0)),0)</f>
        <v/>
      </c>
      <c r="F247" s="34" t="n">
        <v>0</v>
      </c>
      <c r="G247" s="35">
        <f>IFERROR(INDEX(Produits!$E:$E,MATCH(B247,Produits!$A:$A,0)),0)</f>
        <v/>
      </c>
      <c r="H247" s="32">
        <f>ROUND(D247*E247*(1-F247),2)</f>
        <v/>
      </c>
      <c r="I247" s="32">
        <f>ROUND(H247*G247,2)</f>
        <v/>
      </c>
    </row>
    <row r="248">
      <c r="A248" s="30" t="inlineStr">
        <is>
          <t>FA-2026-0076</t>
        </is>
      </c>
      <c r="B248" s="30" t="inlineStr">
        <is>
          <t>TP-O</t>
        </is>
      </c>
      <c r="C248" s="30">
        <f>IFERROR(INDEX(Produits!$B:$B,MATCH(B248,Produits!$A:$A,0)),"Réf inconnue")</f>
        <v/>
      </c>
      <c r="D248" s="30" t="n">
        <v>31</v>
      </c>
      <c r="E248" s="32">
        <f>IFERROR(INDEX(Produits!$D:$D,MATCH(B248,Produits!$A:$A,0)),0)</f>
        <v/>
      </c>
      <c r="F248" s="34" t="n">
        <v>0</v>
      </c>
      <c r="G248" s="35">
        <f>IFERROR(INDEX(Produits!$E:$E,MATCH(B248,Produits!$A:$A,0)),0)</f>
        <v/>
      </c>
      <c r="H248" s="32">
        <f>ROUND(D248*E248*(1-F248),2)</f>
        <v/>
      </c>
      <c r="I248" s="32">
        <f>ROUND(H248*G248,2)</f>
        <v/>
      </c>
    </row>
    <row r="249">
      <c r="A249" s="30" t="inlineStr">
        <is>
          <t>FA-2026-0076</t>
        </is>
      </c>
      <c r="B249" s="30" t="inlineStr">
        <is>
          <t>CF-P</t>
        </is>
      </c>
      <c r="C249" s="30">
        <f>IFERROR(INDEX(Produits!$B:$B,MATCH(B249,Produits!$A:$A,0)),"Réf inconnue")</f>
        <v/>
      </c>
      <c r="D249" s="30" t="n">
        <v>4</v>
      </c>
      <c r="E249" s="32">
        <f>IFERROR(INDEX(Produits!$D:$D,MATCH(B249,Produits!$A:$A,0)),0)</f>
        <v/>
      </c>
      <c r="F249" s="34" t="n">
        <v>0</v>
      </c>
      <c r="G249" s="35">
        <f>IFERROR(INDEX(Produits!$E:$E,MATCH(B249,Produits!$A:$A,0)),0)</f>
        <v/>
      </c>
      <c r="H249" s="32">
        <f>ROUND(D249*E249*(1-F249),2)</f>
        <v/>
      </c>
      <c r="I249" s="32">
        <f>ROUND(H249*G249,2)</f>
        <v/>
      </c>
    </row>
    <row r="250">
      <c r="A250" s="30" t="inlineStr">
        <is>
          <t>FA-2026-0076</t>
        </is>
      </c>
      <c r="B250" s="30" t="inlineStr">
        <is>
          <t>HO-T3</t>
        </is>
      </c>
      <c r="C250" s="30">
        <f>IFERROR(INDEX(Produits!$B:$B,MATCH(B250,Produits!$A:$A,0)),"Réf inconnue")</f>
        <v/>
      </c>
      <c r="D250" s="30" t="n">
        <v>13</v>
      </c>
      <c r="E250" s="32">
        <f>IFERROR(INDEX(Produits!$D:$D,MATCH(B250,Produits!$A:$A,0)),0)</f>
        <v/>
      </c>
      <c r="F250" s="34" t="n">
        <v>0</v>
      </c>
      <c r="G250" s="35">
        <f>IFERROR(INDEX(Produits!$E:$E,MATCH(B250,Produits!$A:$A,0)),0)</f>
        <v/>
      </c>
      <c r="H250" s="32">
        <f>ROUND(D250*E250*(1-F250),2)</f>
        <v/>
      </c>
      <c r="I250" s="32">
        <f>ROUND(H250*G250,2)</f>
        <v/>
      </c>
    </row>
    <row r="251">
      <c r="A251" s="30" t="inlineStr">
        <is>
          <t>FA-2026-0077</t>
        </is>
      </c>
      <c r="B251" s="30" t="inlineStr">
        <is>
          <t>OL-V</t>
        </is>
      </c>
      <c r="C251" s="30">
        <f>IFERROR(INDEX(Produits!$B:$B,MATCH(B251,Produits!$A:$A,0)),"Réf inconnue")</f>
        <v/>
      </c>
      <c r="D251" s="30" t="n">
        <v>64</v>
      </c>
      <c r="E251" s="32">
        <f>IFERROR(INDEX(Produits!$D:$D,MATCH(B251,Produits!$A:$A,0)),0)</f>
        <v/>
      </c>
      <c r="F251" s="34" t="n">
        <v>0</v>
      </c>
      <c r="G251" s="35">
        <f>IFERROR(INDEX(Produits!$E:$E,MATCH(B251,Produits!$A:$A,0)),0)</f>
        <v/>
      </c>
      <c r="H251" s="32">
        <f>ROUND(D251*E251*(1-F251),2)</f>
        <v/>
      </c>
      <c r="I251" s="32">
        <f>ROUND(H251*G251,2)</f>
        <v/>
      </c>
    </row>
    <row r="252">
      <c r="A252" s="30" t="inlineStr">
        <is>
          <t>FA-2026-0077</t>
        </is>
      </c>
      <c r="B252" s="30" t="inlineStr">
        <is>
          <t>CF-D</t>
        </is>
      </c>
      <c r="C252" s="30">
        <f>IFERROR(INDEX(Produits!$B:$B,MATCH(B252,Produits!$A:$A,0)),"Réf inconnue")</f>
        <v/>
      </c>
      <c r="D252" s="30" t="n">
        <v>7</v>
      </c>
      <c r="E252" s="32">
        <f>IFERROR(INDEX(Produits!$D:$D,MATCH(B252,Produits!$A:$A,0)),0)</f>
        <v/>
      </c>
      <c r="F252" s="34" t="n">
        <v>0</v>
      </c>
      <c r="G252" s="35">
        <f>IFERROR(INDEX(Produits!$E:$E,MATCH(B252,Produits!$A:$A,0)),0)</f>
        <v/>
      </c>
      <c r="H252" s="32">
        <f>ROUND(D252*E252*(1-F252),2)</f>
        <v/>
      </c>
      <c r="I252" s="32">
        <f>ROUND(H252*G252,2)</f>
        <v/>
      </c>
    </row>
    <row r="253">
      <c r="A253" s="30" t="inlineStr">
        <is>
          <t>FA-2026-0077</t>
        </is>
      </c>
      <c r="B253" s="30" t="inlineStr">
        <is>
          <t>CF-P</t>
        </is>
      </c>
      <c r="C253" s="30">
        <f>IFERROR(INDEX(Produits!$B:$B,MATCH(B253,Produits!$A:$A,0)),"Réf inconnue")</f>
        <v/>
      </c>
      <c r="D253" s="30" t="n">
        <v>6</v>
      </c>
      <c r="E253" s="32">
        <f>IFERROR(INDEX(Produits!$D:$D,MATCH(B253,Produits!$A:$A,0)),0)</f>
        <v/>
      </c>
      <c r="F253" s="34" t="n">
        <v>0</v>
      </c>
      <c r="G253" s="35">
        <f>IFERROR(INDEX(Produits!$E:$E,MATCH(B253,Produits!$A:$A,0)),0)</f>
        <v/>
      </c>
      <c r="H253" s="32">
        <f>ROUND(D253*E253*(1-F253),2)</f>
        <v/>
      </c>
      <c r="I253" s="32">
        <f>ROUND(H253*G253,2)</f>
        <v/>
      </c>
    </row>
    <row r="254">
      <c r="A254" s="30" t="inlineStr">
        <is>
          <t>FA-2026-0078</t>
        </is>
      </c>
      <c r="B254" s="30" t="inlineStr">
        <is>
          <t>HO-1</t>
        </is>
      </c>
      <c r="C254" s="30">
        <f>IFERROR(INDEX(Produits!$B:$B,MATCH(B254,Produits!$A:$A,0)),"Réf inconnue")</f>
        <v/>
      </c>
      <c r="D254" s="30" t="n">
        <v>19</v>
      </c>
      <c r="E254" s="32">
        <f>IFERROR(INDEX(Produits!$D:$D,MATCH(B254,Produits!$A:$A,0)),0)</f>
        <v/>
      </c>
      <c r="F254" s="34" t="n">
        <v>0</v>
      </c>
      <c r="G254" s="35">
        <f>IFERROR(INDEX(Produits!$E:$E,MATCH(B254,Produits!$A:$A,0)),0)</f>
        <v/>
      </c>
      <c r="H254" s="32">
        <f>ROUND(D254*E254*(1-F254),2)</f>
        <v/>
      </c>
      <c r="I254" s="32">
        <f>ROUND(H254*G254,2)</f>
        <v/>
      </c>
    </row>
    <row r="255">
      <c r="A255" s="30" t="inlineStr">
        <is>
          <t>FA-2026-0078</t>
        </is>
      </c>
      <c r="B255" s="30" t="inlineStr">
        <is>
          <t>OL-N</t>
        </is>
      </c>
      <c r="C255" s="30">
        <f>IFERROR(INDEX(Produits!$B:$B,MATCH(B255,Produits!$A:$A,0)),"Réf inconnue")</f>
        <v/>
      </c>
      <c r="D255" s="30" t="n">
        <v>29</v>
      </c>
      <c r="E255" s="32">
        <f>IFERROR(INDEX(Produits!$D:$D,MATCH(B255,Produits!$A:$A,0)),0)</f>
        <v/>
      </c>
      <c r="F255" s="34" t="n">
        <v>0</v>
      </c>
      <c r="G255" s="35">
        <f>IFERROR(INDEX(Produits!$E:$E,MATCH(B255,Produits!$A:$A,0)),0)</f>
        <v/>
      </c>
      <c r="H255" s="32">
        <f>ROUND(D255*E255*(1-F255),2)</f>
        <v/>
      </c>
      <c r="I255" s="32">
        <f>ROUND(H255*G255,2)</f>
        <v/>
      </c>
    </row>
    <row r="256">
      <c r="A256" s="30" t="inlineStr">
        <is>
          <t>FA-2026-0078</t>
        </is>
      </c>
      <c r="B256" s="30" t="inlineStr">
        <is>
          <t>CF-D</t>
        </is>
      </c>
      <c r="C256" s="30">
        <f>IFERROR(INDEX(Produits!$B:$B,MATCH(B256,Produits!$A:$A,0)),"Réf inconnue")</f>
        <v/>
      </c>
      <c r="D256" s="30" t="n">
        <v>1</v>
      </c>
      <c r="E256" s="32">
        <f>IFERROR(INDEX(Produits!$D:$D,MATCH(B256,Produits!$A:$A,0)),0)</f>
        <v/>
      </c>
      <c r="F256" s="34" t="n">
        <v>0</v>
      </c>
      <c r="G256" s="35">
        <f>IFERROR(INDEX(Produits!$E:$E,MATCH(B256,Produits!$A:$A,0)),0)</f>
        <v/>
      </c>
      <c r="H256" s="32">
        <f>ROUND(D256*E256*(1-F256),2)</f>
        <v/>
      </c>
      <c r="I256" s="32">
        <f>ROUND(H256*G256,2)</f>
        <v/>
      </c>
    </row>
    <row r="257">
      <c r="A257" s="30" t="inlineStr">
        <is>
          <t>FA-2026-0078</t>
        </is>
      </c>
      <c r="B257" s="30" t="inlineStr">
        <is>
          <t>TP-O</t>
        </is>
      </c>
      <c r="C257" s="30">
        <f>IFERROR(INDEX(Produits!$B:$B,MATCH(B257,Produits!$A:$A,0)),"Réf inconnue")</f>
        <v/>
      </c>
      <c r="D257" s="30" t="n">
        <v>27</v>
      </c>
      <c r="E257" s="32">
        <f>IFERROR(INDEX(Produits!$D:$D,MATCH(B257,Produits!$A:$A,0)),0)</f>
        <v/>
      </c>
      <c r="F257" s="34" t="n">
        <v>0</v>
      </c>
      <c r="G257" s="35">
        <f>IFERROR(INDEX(Produits!$E:$E,MATCH(B257,Produits!$A:$A,0)),0)</f>
        <v/>
      </c>
      <c r="H257" s="32">
        <f>ROUND(D257*E257*(1-F257),2)</f>
        <v/>
      </c>
      <c r="I257" s="32">
        <f>ROUND(H257*G257,2)</f>
        <v/>
      </c>
    </row>
    <row r="258">
      <c r="A258" s="30" t="inlineStr">
        <is>
          <t>FA-2026-0079</t>
        </is>
      </c>
      <c r="B258" s="30" t="inlineStr">
        <is>
          <t>HO-T3</t>
        </is>
      </c>
      <c r="C258" s="30">
        <f>IFERROR(INDEX(Produits!$B:$B,MATCH(B258,Produits!$A:$A,0)),"Réf inconnue")</f>
        <v/>
      </c>
      <c r="D258" s="30" t="n">
        <v>8</v>
      </c>
      <c r="E258" s="32">
        <f>IFERROR(INDEX(Produits!$D:$D,MATCH(B258,Produits!$A:$A,0)),0)</f>
        <v/>
      </c>
      <c r="F258" s="34" t="n">
        <v>0</v>
      </c>
      <c r="G258" s="35">
        <f>IFERROR(INDEX(Produits!$E:$E,MATCH(B258,Produits!$A:$A,0)),0)</f>
        <v/>
      </c>
      <c r="H258" s="32">
        <f>ROUND(D258*E258*(1-F258),2)</f>
        <v/>
      </c>
      <c r="I258" s="32">
        <f>ROUND(H258*G258,2)</f>
        <v/>
      </c>
    </row>
    <row r="259">
      <c r="A259" s="30" t="inlineStr">
        <is>
          <t>FA-2026-0079</t>
        </is>
      </c>
      <c r="B259" s="30" t="inlineStr">
        <is>
          <t>CF-D</t>
        </is>
      </c>
      <c r="C259" s="30">
        <f>IFERROR(INDEX(Produits!$B:$B,MATCH(B259,Produits!$A:$A,0)),"Réf inconnue")</f>
        <v/>
      </c>
      <c r="D259" s="30" t="n">
        <v>1</v>
      </c>
      <c r="E259" s="32">
        <f>IFERROR(INDEX(Produits!$D:$D,MATCH(B259,Produits!$A:$A,0)),0)</f>
        <v/>
      </c>
      <c r="F259" s="34" t="n">
        <v>0</v>
      </c>
      <c r="G259" s="35">
        <f>IFERROR(INDEX(Produits!$E:$E,MATCH(B259,Produits!$A:$A,0)),0)</f>
        <v/>
      </c>
      <c r="H259" s="32">
        <f>ROUND(D259*E259*(1-F259),2)</f>
        <v/>
      </c>
      <c r="I259" s="32">
        <f>ROUND(H259*G259,2)</f>
        <v/>
      </c>
    </row>
    <row r="260">
      <c r="A260" s="30" t="inlineStr">
        <is>
          <t>FA-2026-0079</t>
        </is>
      </c>
      <c r="B260" s="30" t="inlineStr">
        <is>
          <t>HO-5</t>
        </is>
      </c>
      <c r="C260" s="30">
        <f>IFERROR(INDEX(Produits!$B:$B,MATCH(B260,Produits!$A:$A,0)),"Réf inconnue")</f>
        <v/>
      </c>
      <c r="D260" s="30" t="n">
        <v>5</v>
      </c>
      <c r="E260" s="32">
        <f>IFERROR(INDEX(Produits!$D:$D,MATCH(B260,Produits!$A:$A,0)),0)</f>
        <v/>
      </c>
      <c r="F260" s="34" t="n">
        <v>0</v>
      </c>
      <c r="G260" s="35">
        <f>IFERROR(INDEX(Produits!$E:$E,MATCH(B260,Produits!$A:$A,0)),0)</f>
        <v/>
      </c>
      <c r="H260" s="32">
        <f>ROUND(D260*E260*(1-F260),2)</f>
        <v/>
      </c>
      <c r="I260" s="32">
        <f>ROUND(H260*G260,2)</f>
        <v/>
      </c>
    </row>
    <row r="261">
      <c r="A261" s="30" t="inlineStr">
        <is>
          <t>FA-2026-0080</t>
        </is>
      </c>
      <c r="B261" s="30" t="inlineStr">
        <is>
          <t>HO-5</t>
        </is>
      </c>
      <c r="C261" s="30">
        <f>IFERROR(INDEX(Produits!$B:$B,MATCH(B261,Produits!$A:$A,0)),"Réf inconnue")</f>
        <v/>
      </c>
      <c r="D261" s="30" t="n">
        <v>7</v>
      </c>
      <c r="E261" s="32">
        <f>IFERROR(INDEX(Produits!$D:$D,MATCH(B261,Produits!$A:$A,0)),0)</f>
        <v/>
      </c>
      <c r="F261" s="34" t="n">
        <v>0</v>
      </c>
      <c r="G261" s="35">
        <f>IFERROR(INDEX(Produits!$E:$E,MATCH(B261,Produits!$A:$A,0)),0)</f>
        <v/>
      </c>
      <c r="H261" s="32">
        <f>ROUND(D261*E261*(1-F261),2)</f>
        <v/>
      </c>
      <c r="I261" s="32">
        <f>ROUND(H261*G261,2)</f>
        <v/>
      </c>
    </row>
    <row r="262">
      <c r="A262" s="30" t="inlineStr">
        <is>
          <t>FA-2026-0080</t>
        </is>
      </c>
      <c r="B262" s="30" t="inlineStr">
        <is>
          <t>HO-T3</t>
        </is>
      </c>
      <c r="C262" s="30">
        <f>IFERROR(INDEX(Produits!$B:$B,MATCH(B262,Produits!$A:$A,0)),"Réf inconnue")</f>
        <v/>
      </c>
      <c r="D262" s="30" t="n">
        <v>5</v>
      </c>
      <c r="E262" s="32">
        <f>IFERROR(INDEX(Produits!$D:$D,MATCH(B262,Produits!$A:$A,0)),0)</f>
        <v/>
      </c>
      <c r="F262" s="34" t="n">
        <v>0</v>
      </c>
      <c r="G262" s="35">
        <f>IFERROR(INDEX(Produits!$E:$E,MATCH(B262,Produits!$A:$A,0)),0)</f>
        <v/>
      </c>
      <c r="H262" s="32">
        <f>ROUND(D262*E262*(1-F262),2)</f>
        <v/>
      </c>
      <c r="I262" s="32">
        <f>ROUND(H262*G262,2)</f>
        <v/>
      </c>
    </row>
    <row r="263">
      <c r="A263" s="30" t="inlineStr">
        <is>
          <t>FA-2026-0080</t>
        </is>
      </c>
      <c r="B263" s="30" t="inlineStr">
        <is>
          <t>OL-V</t>
        </is>
      </c>
      <c r="C263" s="30">
        <f>IFERROR(INDEX(Produits!$B:$B,MATCH(B263,Produits!$A:$A,0)),"Réf inconnue")</f>
        <v/>
      </c>
      <c r="D263" s="30" t="n">
        <v>5</v>
      </c>
      <c r="E263" s="32">
        <f>IFERROR(INDEX(Produits!$D:$D,MATCH(B263,Produits!$A:$A,0)),0)</f>
        <v/>
      </c>
      <c r="F263" s="34" t="n">
        <v>0</v>
      </c>
      <c r="G263" s="35">
        <f>IFERROR(INDEX(Produits!$E:$E,MATCH(B263,Produits!$A:$A,0)),0)</f>
        <v/>
      </c>
      <c r="H263" s="32">
        <f>ROUND(D263*E263*(1-F263),2)</f>
        <v/>
      </c>
      <c r="I263" s="32">
        <f>ROUND(H263*G263,2)</f>
        <v/>
      </c>
    </row>
    <row r="264">
      <c r="A264" s="30" t="inlineStr">
        <is>
          <t>FA-2026-0080</t>
        </is>
      </c>
      <c r="B264" s="30" t="inlineStr">
        <is>
          <t>CF-D</t>
        </is>
      </c>
      <c r="C264" s="30">
        <f>IFERROR(INDEX(Produits!$B:$B,MATCH(B264,Produits!$A:$A,0)),"Réf inconnue")</f>
        <v/>
      </c>
      <c r="D264" s="30" t="n">
        <v>1</v>
      </c>
      <c r="E264" s="32">
        <f>IFERROR(INDEX(Produits!$D:$D,MATCH(B264,Produits!$A:$A,0)),0)</f>
        <v/>
      </c>
      <c r="F264" s="34" t="n">
        <v>0</v>
      </c>
      <c r="G264" s="35">
        <f>IFERROR(INDEX(Produits!$E:$E,MATCH(B264,Produits!$A:$A,0)),0)</f>
        <v/>
      </c>
      <c r="H264" s="32">
        <f>ROUND(D264*E264*(1-F264),2)</f>
        <v/>
      </c>
      <c r="I264" s="32">
        <f>ROUND(H264*G264,2)</f>
        <v/>
      </c>
    </row>
    <row r="265">
      <c r="A265" s="30" t="inlineStr">
        <is>
          <t>FA-2026-0080</t>
        </is>
      </c>
      <c r="B265" s="30" t="inlineStr">
        <is>
          <t>HO-05</t>
        </is>
      </c>
      <c r="C265" s="30">
        <f>IFERROR(INDEX(Produits!$B:$B,MATCH(B265,Produits!$A:$A,0)),"Réf inconnue")</f>
        <v/>
      </c>
      <c r="D265" s="30" t="n">
        <v>4</v>
      </c>
      <c r="E265" s="32">
        <f>IFERROR(INDEX(Produits!$D:$D,MATCH(B265,Produits!$A:$A,0)),0)</f>
        <v/>
      </c>
      <c r="F265" s="34" t="n">
        <v>0</v>
      </c>
      <c r="G265" s="35">
        <f>IFERROR(INDEX(Produits!$E:$E,MATCH(B265,Produits!$A:$A,0)),0)</f>
        <v/>
      </c>
      <c r="H265" s="32">
        <f>ROUND(D265*E265*(1-F265),2)</f>
        <v/>
      </c>
      <c r="I265" s="32">
        <f>ROUND(H265*G265,2)</f>
        <v/>
      </c>
    </row>
    <row r="266">
      <c r="A266" s="30" t="inlineStr">
        <is>
          <t>FA-2026-0081</t>
        </is>
      </c>
      <c r="B266" s="30" t="inlineStr">
        <is>
          <t>HO-1</t>
        </is>
      </c>
      <c r="C266" s="30">
        <f>IFERROR(INDEX(Produits!$B:$B,MATCH(B266,Produits!$A:$A,0)),"Réf inconnue")</f>
        <v/>
      </c>
      <c r="D266" s="30" t="n">
        <v>8</v>
      </c>
      <c r="E266" s="32">
        <f>IFERROR(INDEX(Produits!$D:$D,MATCH(B266,Produits!$A:$A,0)),0)</f>
        <v/>
      </c>
      <c r="F266" s="34" t="n">
        <v>0</v>
      </c>
      <c r="G266" s="35">
        <f>IFERROR(INDEX(Produits!$E:$E,MATCH(B266,Produits!$A:$A,0)),0)</f>
        <v/>
      </c>
      <c r="H266" s="32">
        <f>ROUND(D266*E266*(1-F266),2)</f>
        <v/>
      </c>
      <c r="I266" s="32">
        <f>ROUND(H266*G266,2)</f>
        <v/>
      </c>
    </row>
    <row r="267">
      <c r="A267" s="30" t="inlineStr">
        <is>
          <t>FA-2026-0081</t>
        </is>
      </c>
      <c r="B267" s="30" t="inlineStr">
        <is>
          <t>SV-O</t>
        </is>
      </c>
      <c r="C267" s="30">
        <f>IFERROR(INDEX(Produits!$B:$B,MATCH(B267,Produits!$A:$A,0)),"Réf inconnue")</f>
        <v/>
      </c>
      <c r="D267" s="30" t="n">
        <v>12</v>
      </c>
      <c r="E267" s="32">
        <f>IFERROR(INDEX(Produits!$D:$D,MATCH(B267,Produits!$A:$A,0)),0)</f>
        <v/>
      </c>
      <c r="F267" s="34" t="n">
        <v>0</v>
      </c>
      <c r="G267" s="35">
        <f>IFERROR(INDEX(Produits!$E:$E,MATCH(B267,Produits!$A:$A,0)),0)</f>
        <v/>
      </c>
      <c r="H267" s="32">
        <f>ROUND(D267*E267*(1-F267),2)</f>
        <v/>
      </c>
      <c r="I267" s="32">
        <f>ROUND(H267*G267,2)</f>
        <v/>
      </c>
    </row>
    <row r="268">
      <c r="A268" s="30" t="inlineStr">
        <is>
          <t>FA-2026-0081</t>
        </is>
      </c>
      <c r="B268" s="30" t="inlineStr">
        <is>
          <t>OL-V</t>
        </is>
      </c>
      <c r="C268" s="30">
        <f>IFERROR(INDEX(Produits!$B:$B,MATCH(B268,Produits!$A:$A,0)),"Réf inconnue")</f>
        <v/>
      </c>
      <c r="D268" s="30" t="n">
        <v>9</v>
      </c>
      <c r="E268" s="32">
        <f>IFERROR(INDEX(Produits!$D:$D,MATCH(B268,Produits!$A:$A,0)),0)</f>
        <v/>
      </c>
      <c r="F268" s="34" t="n">
        <v>0</v>
      </c>
      <c r="G268" s="35">
        <f>IFERROR(INDEX(Produits!$E:$E,MATCH(B268,Produits!$A:$A,0)),0)</f>
        <v/>
      </c>
      <c r="H268" s="32">
        <f>ROUND(D268*E268*(1-F268),2)</f>
        <v/>
      </c>
      <c r="I268" s="32">
        <f>ROUND(H268*G268,2)</f>
        <v/>
      </c>
    </row>
    <row r="269">
      <c r="A269" s="30" t="inlineStr">
        <is>
          <t>FA-2026-0082</t>
        </is>
      </c>
      <c r="B269" s="30" t="inlineStr">
        <is>
          <t>HO-T3</t>
        </is>
      </c>
      <c r="C269" s="30">
        <f>IFERROR(INDEX(Produits!$B:$B,MATCH(B269,Produits!$A:$A,0)),"Réf inconnue")</f>
        <v/>
      </c>
      <c r="D269" s="30" t="n">
        <v>11</v>
      </c>
      <c r="E269" s="32">
        <f>IFERROR(INDEX(Produits!$D:$D,MATCH(B269,Produits!$A:$A,0)),0)</f>
        <v/>
      </c>
      <c r="F269" s="34" t="n">
        <v>0</v>
      </c>
      <c r="G269" s="35">
        <f>IFERROR(INDEX(Produits!$E:$E,MATCH(B269,Produits!$A:$A,0)),0)</f>
        <v/>
      </c>
      <c r="H269" s="32">
        <f>ROUND(D269*E269*(1-F269),2)</f>
        <v/>
      </c>
      <c r="I269" s="32">
        <f>ROUND(H269*G269,2)</f>
        <v/>
      </c>
    </row>
    <row r="270">
      <c r="A270" s="30" t="inlineStr">
        <is>
          <t>FA-2026-0082</t>
        </is>
      </c>
      <c r="B270" s="30" t="inlineStr">
        <is>
          <t>OL-N</t>
        </is>
      </c>
      <c r="C270" s="30">
        <f>IFERROR(INDEX(Produits!$B:$B,MATCH(B270,Produits!$A:$A,0)),"Réf inconnue")</f>
        <v/>
      </c>
      <c r="D270" s="30" t="n">
        <v>2</v>
      </c>
      <c r="E270" s="32">
        <f>IFERROR(INDEX(Produits!$D:$D,MATCH(B270,Produits!$A:$A,0)),0)</f>
        <v/>
      </c>
      <c r="F270" s="34" t="n">
        <v>0</v>
      </c>
      <c r="G270" s="35">
        <f>IFERROR(INDEX(Produits!$E:$E,MATCH(B270,Produits!$A:$A,0)),0)</f>
        <v/>
      </c>
      <c r="H270" s="32">
        <f>ROUND(D270*E270*(1-F270),2)</f>
        <v/>
      </c>
      <c r="I270" s="32">
        <f>ROUND(H270*G270,2)</f>
        <v/>
      </c>
    </row>
    <row r="271">
      <c r="A271" s="30" t="inlineStr">
        <is>
          <t>FA-2026-0082</t>
        </is>
      </c>
      <c r="B271" s="30" t="inlineStr">
        <is>
          <t>HO-1</t>
        </is>
      </c>
      <c r="C271" s="30">
        <f>IFERROR(INDEX(Produits!$B:$B,MATCH(B271,Produits!$A:$A,0)),"Réf inconnue")</f>
        <v/>
      </c>
      <c r="D271" s="30" t="n">
        <v>3</v>
      </c>
      <c r="E271" s="32">
        <f>IFERROR(INDEX(Produits!$D:$D,MATCH(B271,Produits!$A:$A,0)),0)</f>
        <v/>
      </c>
      <c r="F271" s="34" t="n">
        <v>0</v>
      </c>
      <c r="G271" s="35">
        <f>IFERROR(INDEX(Produits!$E:$E,MATCH(B271,Produits!$A:$A,0)),0)</f>
        <v/>
      </c>
      <c r="H271" s="32">
        <f>ROUND(D271*E271*(1-F271),2)</f>
        <v/>
      </c>
      <c r="I271" s="32">
        <f>ROUND(H271*G271,2)</f>
        <v/>
      </c>
    </row>
    <row r="272">
      <c r="A272" s="30" t="inlineStr">
        <is>
          <t>FA-2026-0082</t>
        </is>
      </c>
      <c r="B272" s="30" t="inlineStr">
        <is>
          <t>OL-V</t>
        </is>
      </c>
      <c r="C272" s="30">
        <f>IFERROR(INDEX(Produits!$B:$B,MATCH(B272,Produits!$A:$A,0)),"Réf inconnue")</f>
        <v/>
      </c>
      <c r="D272" s="30" t="n">
        <v>5</v>
      </c>
      <c r="E272" s="32">
        <f>IFERROR(INDEX(Produits!$D:$D,MATCH(B272,Produits!$A:$A,0)),0)</f>
        <v/>
      </c>
      <c r="F272" s="34" t="n">
        <v>0</v>
      </c>
      <c r="G272" s="35">
        <f>IFERROR(INDEX(Produits!$E:$E,MATCH(B272,Produits!$A:$A,0)),0)</f>
        <v/>
      </c>
      <c r="H272" s="32">
        <f>ROUND(D272*E272*(1-F272),2)</f>
        <v/>
      </c>
      <c r="I272" s="32">
        <f>ROUND(H272*G272,2)</f>
        <v/>
      </c>
    </row>
    <row r="273">
      <c r="A273" s="30" t="inlineStr">
        <is>
          <t>FA-2026-0083</t>
        </is>
      </c>
      <c r="B273" s="30" t="inlineStr">
        <is>
          <t>OL-N</t>
        </is>
      </c>
      <c r="C273" s="30">
        <f>IFERROR(INDEX(Produits!$B:$B,MATCH(B273,Produits!$A:$A,0)),"Réf inconnue")</f>
        <v/>
      </c>
      <c r="D273" s="30" t="n">
        <v>8</v>
      </c>
      <c r="E273" s="32">
        <f>IFERROR(INDEX(Produits!$D:$D,MATCH(B273,Produits!$A:$A,0)),0)</f>
        <v/>
      </c>
      <c r="F273" s="34" t="n">
        <v>0</v>
      </c>
      <c r="G273" s="35">
        <f>IFERROR(INDEX(Produits!$E:$E,MATCH(B273,Produits!$A:$A,0)),0)</f>
        <v/>
      </c>
      <c r="H273" s="32">
        <f>ROUND(D273*E273*(1-F273),2)</f>
        <v/>
      </c>
      <c r="I273" s="32">
        <f>ROUND(H273*G273,2)</f>
        <v/>
      </c>
    </row>
    <row r="274">
      <c r="A274" s="30" t="inlineStr">
        <is>
          <t>FA-2026-0083</t>
        </is>
      </c>
      <c r="B274" s="30" t="inlineStr">
        <is>
          <t>SV-O</t>
        </is>
      </c>
      <c r="C274" s="30">
        <f>IFERROR(INDEX(Produits!$B:$B,MATCH(B274,Produits!$A:$A,0)),"Réf inconnue")</f>
        <v/>
      </c>
      <c r="D274" s="30" t="n">
        <v>9</v>
      </c>
      <c r="E274" s="32">
        <f>IFERROR(INDEX(Produits!$D:$D,MATCH(B274,Produits!$A:$A,0)),0)</f>
        <v/>
      </c>
      <c r="F274" s="34" t="n">
        <v>0</v>
      </c>
      <c r="G274" s="35">
        <f>IFERROR(INDEX(Produits!$E:$E,MATCH(B274,Produits!$A:$A,0)),0)</f>
        <v/>
      </c>
      <c r="H274" s="32">
        <f>ROUND(D274*E274*(1-F274),2)</f>
        <v/>
      </c>
      <c r="I274" s="32">
        <f>ROUND(H274*G274,2)</f>
        <v/>
      </c>
    </row>
    <row r="275">
      <c r="A275" s="30" t="inlineStr">
        <is>
          <t>FA-2026-0083</t>
        </is>
      </c>
      <c r="B275" s="30" t="inlineStr">
        <is>
          <t>OL-V</t>
        </is>
      </c>
      <c r="C275" s="30">
        <f>IFERROR(INDEX(Produits!$B:$B,MATCH(B275,Produits!$A:$A,0)),"Réf inconnue")</f>
        <v/>
      </c>
      <c r="D275" s="30" t="n">
        <v>9</v>
      </c>
      <c r="E275" s="32">
        <f>IFERROR(INDEX(Produits!$D:$D,MATCH(B275,Produits!$A:$A,0)),0)</f>
        <v/>
      </c>
      <c r="F275" s="34" t="n">
        <v>0</v>
      </c>
      <c r="G275" s="35">
        <f>IFERROR(INDEX(Produits!$E:$E,MATCH(B275,Produits!$A:$A,0)),0)</f>
        <v/>
      </c>
      <c r="H275" s="32">
        <f>ROUND(D275*E275*(1-F275),2)</f>
        <v/>
      </c>
      <c r="I275" s="32">
        <f>ROUND(H275*G275,2)</f>
        <v/>
      </c>
    </row>
    <row r="276">
      <c r="A276" s="30" t="inlineStr">
        <is>
          <t>FA-2026-0083</t>
        </is>
      </c>
      <c r="B276" s="30" t="inlineStr">
        <is>
          <t>HO-T3</t>
        </is>
      </c>
      <c r="C276" s="30">
        <f>IFERROR(INDEX(Produits!$B:$B,MATCH(B276,Produits!$A:$A,0)),"Réf inconnue")</f>
        <v/>
      </c>
      <c r="D276" s="30" t="n">
        <v>7</v>
      </c>
      <c r="E276" s="32">
        <f>IFERROR(INDEX(Produits!$D:$D,MATCH(B276,Produits!$A:$A,0)),0)</f>
        <v/>
      </c>
      <c r="F276" s="34" t="n">
        <v>0</v>
      </c>
      <c r="G276" s="35">
        <f>IFERROR(INDEX(Produits!$E:$E,MATCH(B276,Produits!$A:$A,0)),0)</f>
        <v/>
      </c>
      <c r="H276" s="32">
        <f>ROUND(D276*E276*(1-F276),2)</f>
        <v/>
      </c>
      <c r="I276" s="32">
        <f>ROUND(H276*G276,2)</f>
        <v/>
      </c>
    </row>
    <row r="277">
      <c r="A277" s="30" t="inlineStr">
        <is>
          <t>FA-2026-0084</t>
        </is>
      </c>
      <c r="B277" s="30" t="inlineStr">
        <is>
          <t>CF-P</t>
        </is>
      </c>
      <c r="C277" s="30">
        <f>IFERROR(INDEX(Produits!$B:$B,MATCH(B277,Produits!$A:$A,0)),"Réf inconnue")</f>
        <v/>
      </c>
      <c r="D277" s="30" t="n">
        <v>7</v>
      </c>
      <c r="E277" s="32">
        <f>IFERROR(INDEX(Produits!$D:$D,MATCH(B277,Produits!$A:$A,0)),0)</f>
        <v/>
      </c>
      <c r="F277" s="34" t="n">
        <v>0</v>
      </c>
      <c r="G277" s="35">
        <f>IFERROR(INDEX(Produits!$E:$E,MATCH(B277,Produits!$A:$A,0)),0)</f>
        <v/>
      </c>
      <c r="H277" s="32">
        <f>ROUND(D277*E277*(1-F277),2)</f>
        <v/>
      </c>
      <c r="I277" s="32">
        <f>ROUND(H277*G277,2)</f>
        <v/>
      </c>
    </row>
    <row r="278">
      <c r="A278" s="30" t="inlineStr">
        <is>
          <t>FA-2026-0084</t>
        </is>
      </c>
      <c r="B278" s="30" t="inlineStr">
        <is>
          <t>TP-O</t>
        </is>
      </c>
      <c r="C278" s="30">
        <f>IFERROR(INDEX(Produits!$B:$B,MATCH(B278,Produits!$A:$A,0)),"Réf inconnue")</f>
        <v/>
      </c>
      <c r="D278" s="30" t="n">
        <v>35</v>
      </c>
      <c r="E278" s="32">
        <f>IFERROR(INDEX(Produits!$D:$D,MATCH(B278,Produits!$A:$A,0)),0)</f>
        <v/>
      </c>
      <c r="F278" s="34" t="n">
        <v>0.03</v>
      </c>
      <c r="G278" s="35">
        <f>IFERROR(INDEX(Produits!$E:$E,MATCH(B278,Produits!$A:$A,0)),0)</f>
        <v/>
      </c>
      <c r="H278" s="32">
        <f>ROUND(D278*E278*(1-F278),2)</f>
        <v/>
      </c>
      <c r="I278" s="32">
        <f>ROUND(H278*G278,2)</f>
        <v/>
      </c>
    </row>
    <row r="279">
      <c r="A279" s="30" t="inlineStr">
        <is>
          <t>FA-2026-0085</t>
        </is>
      </c>
      <c r="B279" s="30" t="inlineStr">
        <is>
          <t>OL-V</t>
        </is>
      </c>
      <c r="C279" s="30">
        <f>IFERROR(INDEX(Produits!$B:$B,MATCH(B279,Produits!$A:$A,0)),"Réf inconnue")</f>
        <v/>
      </c>
      <c r="D279" s="30" t="n">
        <v>12</v>
      </c>
      <c r="E279" s="32">
        <f>IFERROR(INDEX(Produits!$D:$D,MATCH(B279,Produits!$A:$A,0)),0)</f>
        <v/>
      </c>
      <c r="F279" s="34" t="n">
        <v>0</v>
      </c>
      <c r="G279" s="35">
        <f>IFERROR(INDEX(Produits!$E:$E,MATCH(B279,Produits!$A:$A,0)),0)</f>
        <v/>
      </c>
      <c r="H279" s="32">
        <f>ROUND(D279*E279*(1-F279),2)</f>
        <v/>
      </c>
      <c r="I279" s="32">
        <f>ROUND(H279*G279,2)</f>
        <v/>
      </c>
    </row>
    <row r="280">
      <c r="A280" s="30" t="inlineStr">
        <is>
          <t>FA-2026-0085</t>
        </is>
      </c>
      <c r="B280" s="30" t="inlineStr">
        <is>
          <t>HO-1</t>
        </is>
      </c>
      <c r="C280" s="30">
        <f>IFERROR(INDEX(Produits!$B:$B,MATCH(B280,Produits!$A:$A,0)),"Réf inconnue")</f>
        <v/>
      </c>
      <c r="D280" s="30" t="n">
        <v>2</v>
      </c>
      <c r="E280" s="32">
        <f>IFERROR(INDEX(Produits!$D:$D,MATCH(B280,Produits!$A:$A,0)),0)</f>
        <v/>
      </c>
      <c r="F280" s="34" t="n">
        <v>0</v>
      </c>
      <c r="G280" s="35">
        <f>IFERROR(INDEX(Produits!$E:$E,MATCH(B280,Produits!$A:$A,0)),0)</f>
        <v/>
      </c>
      <c r="H280" s="32">
        <f>ROUND(D280*E280*(1-F280),2)</f>
        <v/>
      </c>
      <c r="I280" s="32">
        <f>ROUND(H280*G280,2)</f>
        <v/>
      </c>
    </row>
    <row r="281">
      <c r="A281" s="30" t="inlineStr">
        <is>
          <t>FA-2026-0085</t>
        </is>
      </c>
      <c r="B281" s="30" t="inlineStr">
        <is>
          <t>HO-T3</t>
        </is>
      </c>
      <c r="C281" s="30">
        <f>IFERROR(INDEX(Produits!$B:$B,MATCH(B281,Produits!$A:$A,0)),"Réf inconnue")</f>
        <v/>
      </c>
      <c r="D281" s="30" t="n">
        <v>8</v>
      </c>
      <c r="E281" s="32">
        <f>IFERROR(INDEX(Produits!$D:$D,MATCH(B281,Produits!$A:$A,0)),0)</f>
        <v/>
      </c>
      <c r="F281" s="34" t="n">
        <v>0</v>
      </c>
      <c r="G281" s="35">
        <f>IFERROR(INDEX(Produits!$E:$E,MATCH(B281,Produits!$A:$A,0)),0)</f>
        <v/>
      </c>
      <c r="H281" s="32">
        <f>ROUND(D281*E281*(1-F281),2)</f>
        <v/>
      </c>
      <c r="I281" s="32">
        <f>ROUND(H281*G281,2)</f>
        <v/>
      </c>
    </row>
    <row r="282">
      <c r="A282" s="30" t="inlineStr">
        <is>
          <t>FA-2026-0086</t>
        </is>
      </c>
      <c r="B282" s="30" t="inlineStr">
        <is>
          <t>HO-05</t>
        </is>
      </c>
      <c r="C282" s="30">
        <f>IFERROR(INDEX(Produits!$B:$B,MATCH(B282,Produits!$A:$A,0)),"Réf inconnue")</f>
        <v/>
      </c>
      <c r="D282" s="30" t="n">
        <v>68</v>
      </c>
      <c r="E282" s="32">
        <f>IFERROR(INDEX(Produits!$D:$D,MATCH(B282,Produits!$A:$A,0)),0)</f>
        <v/>
      </c>
      <c r="F282" s="34" t="n">
        <v>0</v>
      </c>
      <c r="G282" s="35">
        <f>IFERROR(INDEX(Produits!$E:$E,MATCH(B282,Produits!$A:$A,0)),0)</f>
        <v/>
      </c>
      <c r="H282" s="32">
        <f>ROUND(D282*E282*(1-F282),2)</f>
        <v/>
      </c>
      <c r="I282" s="32">
        <f>ROUND(H282*G282,2)</f>
        <v/>
      </c>
    </row>
    <row r="283">
      <c r="A283" s="30" t="inlineStr">
        <is>
          <t>FA-2026-0086</t>
        </is>
      </c>
      <c r="B283" s="30" t="inlineStr">
        <is>
          <t>TP-O</t>
        </is>
      </c>
      <c r="C283" s="30">
        <f>IFERROR(INDEX(Produits!$B:$B,MATCH(B283,Produits!$A:$A,0)),"Réf inconnue")</f>
        <v/>
      </c>
      <c r="D283" s="30" t="n">
        <v>62</v>
      </c>
      <c r="E283" s="32">
        <f>IFERROR(INDEX(Produits!$D:$D,MATCH(B283,Produits!$A:$A,0)),0)</f>
        <v/>
      </c>
      <c r="F283" s="34" t="n">
        <v>0.05</v>
      </c>
      <c r="G283" s="35">
        <f>IFERROR(INDEX(Produits!$E:$E,MATCH(B283,Produits!$A:$A,0)),0)</f>
        <v/>
      </c>
      <c r="H283" s="32">
        <f>ROUND(D283*E283*(1-F283),2)</f>
        <v/>
      </c>
      <c r="I283" s="32">
        <f>ROUND(H283*G283,2)</f>
        <v/>
      </c>
    </row>
    <row r="284">
      <c r="A284" s="30" t="inlineStr">
        <is>
          <t>FA-2026-0086</t>
        </is>
      </c>
      <c r="B284" s="30" t="inlineStr">
        <is>
          <t>CF-P</t>
        </is>
      </c>
      <c r="C284" s="30">
        <f>IFERROR(INDEX(Produits!$B:$B,MATCH(B284,Produits!$A:$A,0)),"Réf inconnue")</f>
        <v/>
      </c>
      <c r="D284" s="30" t="n">
        <v>3</v>
      </c>
      <c r="E284" s="32">
        <f>IFERROR(INDEX(Produits!$D:$D,MATCH(B284,Produits!$A:$A,0)),0)</f>
        <v/>
      </c>
      <c r="F284" s="34" t="n">
        <v>0</v>
      </c>
      <c r="G284" s="35">
        <f>IFERROR(INDEX(Produits!$E:$E,MATCH(B284,Produits!$A:$A,0)),0)</f>
        <v/>
      </c>
      <c r="H284" s="32">
        <f>ROUND(D284*E284*(1-F284),2)</f>
        <v/>
      </c>
      <c r="I284" s="32">
        <f>ROUND(H284*G284,2)</f>
        <v/>
      </c>
    </row>
    <row r="285">
      <c r="A285" s="30" t="inlineStr">
        <is>
          <t>FA-2026-0087</t>
        </is>
      </c>
      <c r="B285" s="30" t="inlineStr">
        <is>
          <t>HO-5</t>
        </is>
      </c>
      <c r="C285" s="30">
        <f>IFERROR(INDEX(Produits!$B:$B,MATCH(B285,Produits!$A:$A,0)),"Réf inconnue")</f>
        <v/>
      </c>
      <c r="D285" s="30" t="n">
        <v>12</v>
      </c>
      <c r="E285" s="32">
        <f>IFERROR(INDEX(Produits!$D:$D,MATCH(B285,Produits!$A:$A,0)),0)</f>
        <v/>
      </c>
      <c r="F285" s="34" t="n">
        <v>0</v>
      </c>
      <c r="G285" s="35">
        <f>IFERROR(INDEX(Produits!$E:$E,MATCH(B285,Produits!$A:$A,0)),0)</f>
        <v/>
      </c>
      <c r="H285" s="32">
        <f>ROUND(D285*E285*(1-F285),2)</f>
        <v/>
      </c>
      <c r="I285" s="32">
        <f>ROUND(H285*G285,2)</f>
        <v/>
      </c>
    </row>
    <row r="286">
      <c r="A286" s="30" t="inlineStr">
        <is>
          <t>FA-2026-0087</t>
        </is>
      </c>
      <c r="B286" s="30" t="inlineStr">
        <is>
          <t>HO-05</t>
        </is>
      </c>
      <c r="C286" s="30">
        <f>IFERROR(INDEX(Produits!$B:$B,MATCH(B286,Produits!$A:$A,0)),"Réf inconnue")</f>
        <v/>
      </c>
      <c r="D286" s="30" t="n">
        <v>4</v>
      </c>
      <c r="E286" s="32">
        <f>IFERROR(INDEX(Produits!$D:$D,MATCH(B286,Produits!$A:$A,0)),0)</f>
        <v/>
      </c>
      <c r="F286" s="34" t="n">
        <v>0</v>
      </c>
      <c r="G286" s="35">
        <f>IFERROR(INDEX(Produits!$E:$E,MATCH(B286,Produits!$A:$A,0)),0)</f>
        <v/>
      </c>
      <c r="H286" s="32">
        <f>ROUND(D286*E286*(1-F286),2)</f>
        <v/>
      </c>
      <c r="I286" s="32">
        <f>ROUND(H286*G286,2)</f>
        <v/>
      </c>
    </row>
    <row r="287">
      <c r="A287" s="30" t="inlineStr">
        <is>
          <t>FA-2026-0087</t>
        </is>
      </c>
      <c r="B287" s="30" t="inlineStr">
        <is>
          <t>CF-D</t>
        </is>
      </c>
      <c r="C287" s="30">
        <f>IFERROR(INDEX(Produits!$B:$B,MATCH(B287,Produits!$A:$A,0)),"Réf inconnue")</f>
        <v/>
      </c>
      <c r="D287" s="30" t="n">
        <v>1</v>
      </c>
      <c r="E287" s="32">
        <f>IFERROR(INDEX(Produits!$D:$D,MATCH(B287,Produits!$A:$A,0)),0)</f>
        <v/>
      </c>
      <c r="F287" s="34" t="n">
        <v>0</v>
      </c>
      <c r="G287" s="35">
        <f>IFERROR(INDEX(Produits!$E:$E,MATCH(B287,Produits!$A:$A,0)),0)</f>
        <v/>
      </c>
      <c r="H287" s="32">
        <f>ROUND(D287*E287*(1-F287),2)</f>
        <v/>
      </c>
      <c r="I287" s="32">
        <f>ROUND(H287*G287,2)</f>
        <v/>
      </c>
    </row>
    <row r="288">
      <c r="A288" s="30" t="inlineStr">
        <is>
          <t>FA-2026-0087</t>
        </is>
      </c>
      <c r="B288" s="30" t="inlineStr">
        <is>
          <t>TP-O</t>
        </is>
      </c>
      <c r="C288" s="30">
        <f>IFERROR(INDEX(Produits!$B:$B,MATCH(B288,Produits!$A:$A,0)),"Réf inconnue")</f>
        <v/>
      </c>
      <c r="D288" s="30" t="n">
        <v>7</v>
      </c>
      <c r="E288" s="32">
        <f>IFERROR(INDEX(Produits!$D:$D,MATCH(B288,Produits!$A:$A,0)),0)</f>
        <v/>
      </c>
      <c r="F288" s="34" t="n">
        <v>0</v>
      </c>
      <c r="G288" s="35">
        <f>IFERROR(INDEX(Produits!$E:$E,MATCH(B288,Produits!$A:$A,0)),0)</f>
        <v/>
      </c>
      <c r="H288" s="32">
        <f>ROUND(D288*E288*(1-F288),2)</f>
        <v/>
      </c>
      <c r="I288" s="32">
        <f>ROUND(H288*G288,2)</f>
        <v/>
      </c>
    </row>
    <row r="289">
      <c r="A289" s="30" t="inlineStr">
        <is>
          <t>FA-2026-0087</t>
        </is>
      </c>
      <c r="B289" s="30" t="inlineStr">
        <is>
          <t>OL-V</t>
        </is>
      </c>
      <c r="C289" s="30">
        <f>IFERROR(INDEX(Produits!$B:$B,MATCH(B289,Produits!$A:$A,0)),"Réf inconnue")</f>
        <v/>
      </c>
      <c r="D289" s="30" t="n">
        <v>4</v>
      </c>
      <c r="E289" s="32">
        <f>IFERROR(INDEX(Produits!$D:$D,MATCH(B289,Produits!$A:$A,0)),0)</f>
        <v/>
      </c>
      <c r="F289" s="34" t="n">
        <v>0</v>
      </c>
      <c r="G289" s="35">
        <f>IFERROR(INDEX(Produits!$E:$E,MATCH(B289,Produits!$A:$A,0)),0)</f>
        <v/>
      </c>
      <c r="H289" s="32">
        <f>ROUND(D289*E289*(1-F289),2)</f>
        <v/>
      </c>
      <c r="I289" s="32">
        <f>ROUND(H289*G289,2)</f>
        <v/>
      </c>
    </row>
    <row r="290">
      <c r="A290" s="30" t="inlineStr">
        <is>
          <t>FA-2026-0088</t>
        </is>
      </c>
      <c r="B290" s="30" t="inlineStr">
        <is>
          <t>OL-N</t>
        </is>
      </c>
      <c r="C290" s="30">
        <f>IFERROR(INDEX(Produits!$B:$B,MATCH(B290,Produits!$A:$A,0)),"Réf inconnue")</f>
        <v/>
      </c>
      <c r="D290" s="30" t="n">
        <v>4</v>
      </c>
      <c r="E290" s="32">
        <f>IFERROR(INDEX(Produits!$D:$D,MATCH(B290,Produits!$A:$A,0)),0)</f>
        <v/>
      </c>
      <c r="F290" s="34" t="n">
        <v>0</v>
      </c>
      <c r="G290" s="35">
        <f>IFERROR(INDEX(Produits!$E:$E,MATCH(B290,Produits!$A:$A,0)),0)</f>
        <v/>
      </c>
      <c r="H290" s="32">
        <f>ROUND(D290*E290*(1-F290),2)</f>
        <v/>
      </c>
      <c r="I290" s="32">
        <f>ROUND(H290*G290,2)</f>
        <v/>
      </c>
    </row>
    <row r="291">
      <c r="A291" s="30" t="inlineStr">
        <is>
          <t>FA-2026-0088</t>
        </is>
      </c>
      <c r="B291" s="30" t="inlineStr">
        <is>
          <t>HO-5</t>
        </is>
      </c>
      <c r="C291" s="30">
        <f>IFERROR(INDEX(Produits!$B:$B,MATCH(B291,Produits!$A:$A,0)),"Réf inconnue")</f>
        <v/>
      </c>
      <c r="D291" s="30" t="n">
        <v>10</v>
      </c>
      <c r="E291" s="32">
        <f>IFERROR(INDEX(Produits!$D:$D,MATCH(B291,Produits!$A:$A,0)),0)</f>
        <v/>
      </c>
      <c r="F291" s="34" t="n">
        <v>0</v>
      </c>
      <c r="G291" s="35">
        <f>IFERROR(INDEX(Produits!$E:$E,MATCH(B291,Produits!$A:$A,0)),0)</f>
        <v/>
      </c>
      <c r="H291" s="32">
        <f>ROUND(D291*E291*(1-F291),2)</f>
        <v/>
      </c>
      <c r="I291" s="32">
        <f>ROUND(H291*G291,2)</f>
        <v/>
      </c>
    </row>
    <row r="292">
      <c r="A292" s="30" t="inlineStr">
        <is>
          <t>FA-2026-0088</t>
        </is>
      </c>
      <c r="B292" s="30" t="inlineStr">
        <is>
          <t>HO-1</t>
        </is>
      </c>
      <c r="C292" s="30">
        <f>IFERROR(INDEX(Produits!$B:$B,MATCH(B292,Produits!$A:$A,0)),"Réf inconnue")</f>
        <v/>
      </c>
      <c r="D292" s="30" t="n">
        <v>6</v>
      </c>
      <c r="E292" s="32">
        <f>IFERROR(INDEX(Produits!$D:$D,MATCH(B292,Produits!$A:$A,0)),0)</f>
        <v/>
      </c>
      <c r="F292" s="34" t="n">
        <v>0</v>
      </c>
      <c r="G292" s="35">
        <f>IFERROR(INDEX(Produits!$E:$E,MATCH(B292,Produits!$A:$A,0)),0)</f>
        <v/>
      </c>
      <c r="H292" s="32">
        <f>ROUND(D292*E292*(1-F292),2)</f>
        <v/>
      </c>
      <c r="I292" s="32">
        <f>ROUND(H292*G292,2)</f>
        <v/>
      </c>
    </row>
    <row r="293">
      <c r="A293" s="30" t="inlineStr">
        <is>
          <t>FA-2026-0088</t>
        </is>
      </c>
      <c r="B293" s="30" t="inlineStr">
        <is>
          <t>TP-O</t>
        </is>
      </c>
      <c r="C293" s="30">
        <f>IFERROR(INDEX(Produits!$B:$B,MATCH(B293,Produits!$A:$A,0)),"Réf inconnue")</f>
        <v/>
      </c>
      <c r="D293" s="30" t="n">
        <v>8</v>
      </c>
      <c r="E293" s="32">
        <f>IFERROR(INDEX(Produits!$D:$D,MATCH(B293,Produits!$A:$A,0)),0)</f>
        <v/>
      </c>
      <c r="F293" s="34" t="n">
        <v>0</v>
      </c>
      <c r="G293" s="35">
        <f>IFERROR(INDEX(Produits!$E:$E,MATCH(B293,Produits!$A:$A,0)),0)</f>
        <v/>
      </c>
      <c r="H293" s="32">
        <f>ROUND(D293*E293*(1-F293),2)</f>
        <v/>
      </c>
      <c r="I293" s="32">
        <f>ROUND(H293*G293,2)</f>
        <v/>
      </c>
    </row>
    <row r="294">
      <c r="A294" s="30" t="inlineStr">
        <is>
          <t>FA-2026-0088</t>
        </is>
      </c>
      <c r="B294" s="30" t="inlineStr">
        <is>
          <t>SV-O</t>
        </is>
      </c>
      <c r="C294" s="30">
        <f>IFERROR(INDEX(Produits!$B:$B,MATCH(B294,Produits!$A:$A,0)),"Réf inconnue")</f>
        <v/>
      </c>
      <c r="D294" s="30" t="n">
        <v>9</v>
      </c>
      <c r="E294" s="32">
        <f>IFERROR(INDEX(Produits!$D:$D,MATCH(B294,Produits!$A:$A,0)),0)</f>
        <v/>
      </c>
      <c r="F294" s="34" t="n">
        <v>0</v>
      </c>
      <c r="G294" s="35">
        <f>IFERROR(INDEX(Produits!$E:$E,MATCH(B294,Produits!$A:$A,0)),0)</f>
        <v/>
      </c>
      <c r="H294" s="32">
        <f>ROUND(D294*E294*(1-F294),2)</f>
        <v/>
      </c>
      <c r="I294" s="32">
        <f>ROUND(H294*G294,2)</f>
        <v/>
      </c>
    </row>
    <row r="295">
      <c r="A295" s="30" t="inlineStr">
        <is>
          <t>FA-2026-0089</t>
        </is>
      </c>
      <c r="B295" s="30" t="inlineStr">
        <is>
          <t>CF-D</t>
        </is>
      </c>
      <c r="C295" s="30">
        <f>IFERROR(INDEX(Produits!$B:$B,MATCH(B295,Produits!$A:$A,0)),"Réf inconnue")</f>
        <v/>
      </c>
      <c r="D295" s="30" t="n">
        <v>2</v>
      </c>
      <c r="E295" s="32">
        <f>IFERROR(INDEX(Produits!$D:$D,MATCH(B295,Produits!$A:$A,0)),0)</f>
        <v/>
      </c>
      <c r="F295" s="34" t="n">
        <v>0</v>
      </c>
      <c r="G295" s="35">
        <f>IFERROR(INDEX(Produits!$E:$E,MATCH(B295,Produits!$A:$A,0)),0)</f>
        <v/>
      </c>
      <c r="H295" s="32">
        <f>ROUND(D295*E295*(1-F295),2)</f>
        <v/>
      </c>
      <c r="I295" s="32">
        <f>ROUND(H295*G295,2)</f>
        <v/>
      </c>
    </row>
    <row r="296">
      <c r="A296" s="30" t="inlineStr">
        <is>
          <t>FA-2026-0089</t>
        </is>
      </c>
      <c r="B296" s="30" t="inlineStr">
        <is>
          <t>OL-N</t>
        </is>
      </c>
      <c r="C296" s="30">
        <f>IFERROR(INDEX(Produits!$B:$B,MATCH(B296,Produits!$A:$A,0)),"Réf inconnue")</f>
        <v/>
      </c>
      <c r="D296" s="30" t="n">
        <v>13</v>
      </c>
      <c r="E296" s="32">
        <f>IFERROR(INDEX(Produits!$D:$D,MATCH(B296,Produits!$A:$A,0)),0)</f>
        <v/>
      </c>
      <c r="F296" s="34" t="n">
        <v>0</v>
      </c>
      <c r="G296" s="35">
        <f>IFERROR(INDEX(Produits!$E:$E,MATCH(B296,Produits!$A:$A,0)),0)</f>
        <v/>
      </c>
      <c r="H296" s="32">
        <f>ROUND(D296*E296*(1-F296),2)</f>
        <v/>
      </c>
      <c r="I296" s="32">
        <f>ROUND(H296*G296,2)</f>
        <v/>
      </c>
    </row>
    <row r="297">
      <c r="A297" s="30" t="inlineStr">
        <is>
          <t>FA-2026-0090</t>
        </is>
      </c>
      <c r="B297" s="30" t="inlineStr">
        <is>
          <t>TP-O</t>
        </is>
      </c>
      <c r="C297" s="30">
        <f>IFERROR(INDEX(Produits!$B:$B,MATCH(B297,Produits!$A:$A,0)),"Réf inconnue")</f>
        <v/>
      </c>
      <c r="D297" s="30" t="n">
        <v>14</v>
      </c>
      <c r="E297" s="32">
        <f>IFERROR(INDEX(Produits!$D:$D,MATCH(B297,Produits!$A:$A,0)),0)</f>
        <v/>
      </c>
      <c r="F297" s="34" t="n">
        <v>0</v>
      </c>
      <c r="G297" s="35">
        <f>IFERROR(INDEX(Produits!$E:$E,MATCH(B297,Produits!$A:$A,0)),0)</f>
        <v/>
      </c>
      <c r="H297" s="32">
        <f>ROUND(D297*E297*(1-F297),2)</f>
        <v/>
      </c>
      <c r="I297" s="32">
        <f>ROUND(H297*G297,2)</f>
        <v/>
      </c>
    </row>
    <row r="298">
      <c r="A298" s="30" t="inlineStr">
        <is>
          <t>FA-2026-0090</t>
        </is>
      </c>
      <c r="B298" s="30" t="inlineStr">
        <is>
          <t>CF-D</t>
        </is>
      </c>
      <c r="C298" s="30">
        <f>IFERROR(INDEX(Produits!$B:$B,MATCH(B298,Produits!$A:$A,0)),"Réf inconnue")</f>
        <v/>
      </c>
      <c r="D298" s="30" t="n">
        <v>1</v>
      </c>
      <c r="E298" s="32">
        <f>IFERROR(INDEX(Produits!$D:$D,MATCH(B298,Produits!$A:$A,0)),0)</f>
        <v/>
      </c>
      <c r="F298" s="34" t="n">
        <v>0</v>
      </c>
      <c r="G298" s="35">
        <f>IFERROR(INDEX(Produits!$E:$E,MATCH(B298,Produits!$A:$A,0)),0)</f>
        <v/>
      </c>
      <c r="H298" s="32">
        <f>ROUND(D298*E298*(1-F298),2)</f>
        <v/>
      </c>
      <c r="I298" s="32">
        <f>ROUND(H298*G298,2)</f>
        <v/>
      </c>
    </row>
    <row r="299">
      <c r="A299" s="30" t="inlineStr">
        <is>
          <t>FA-2026-0090</t>
        </is>
      </c>
      <c r="B299" s="30" t="inlineStr">
        <is>
          <t>OL-V</t>
        </is>
      </c>
      <c r="C299" s="30">
        <f>IFERROR(INDEX(Produits!$B:$B,MATCH(B299,Produits!$A:$A,0)),"Réf inconnue")</f>
        <v/>
      </c>
      <c r="D299" s="30" t="n">
        <v>13</v>
      </c>
      <c r="E299" s="32">
        <f>IFERROR(INDEX(Produits!$D:$D,MATCH(B299,Produits!$A:$A,0)),0)</f>
        <v/>
      </c>
      <c r="F299" s="34" t="n">
        <v>0</v>
      </c>
      <c r="G299" s="35">
        <f>IFERROR(INDEX(Produits!$E:$E,MATCH(B299,Produits!$A:$A,0)),0)</f>
        <v/>
      </c>
      <c r="H299" s="32">
        <f>ROUND(D299*E299*(1-F299),2)</f>
        <v/>
      </c>
      <c r="I299" s="32">
        <f>ROUND(H299*G299,2)</f>
        <v/>
      </c>
    </row>
    <row r="300">
      <c r="A300" s="30" t="inlineStr">
        <is>
          <t>FA-2026-0090</t>
        </is>
      </c>
      <c r="B300" s="30" t="inlineStr">
        <is>
          <t>OL-N</t>
        </is>
      </c>
      <c r="C300" s="30">
        <f>IFERROR(INDEX(Produits!$B:$B,MATCH(B300,Produits!$A:$A,0)),"Réf inconnue")</f>
        <v/>
      </c>
      <c r="D300" s="30" t="n">
        <v>23</v>
      </c>
      <c r="E300" s="32">
        <f>IFERROR(INDEX(Produits!$D:$D,MATCH(B300,Produits!$A:$A,0)),0)</f>
        <v/>
      </c>
      <c r="F300" s="34" t="n">
        <v>0</v>
      </c>
      <c r="G300" s="35">
        <f>IFERROR(INDEX(Produits!$E:$E,MATCH(B300,Produits!$A:$A,0)),0)</f>
        <v/>
      </c>
      <c r="H300" s="32">
        <f>ROUND(D300*E300*(1-F300),2)</f>
        <v/>
      </c>
      <c r="I300" s="32">
        <f>ROUND(H300*G300,2)</f>
        <v/>
      </c>
    </row>
    <row r="301">
      <c r="A301" s="30" t="inlineStr">
        <is>
          <t>FA-2026-0091</t>
        </is>
      </c>
      <c r="B301" s="30" t="inlineStr">
        <is>
          <t>OL-N</t>
        </is>
      </c>
      <c r="C301" s="30">
        <f>IFERROR(INDEX(Produits!$B:$B,MATCH(B301,Produits!$A:$A,0)),"Réf inconnue")</f>
        <v/>
      </c>
      <c r="D301" s="30" t="n">
        <v>30</v>
      </c>
      <c r="E301" s="32">
        <f>IFERROR(INDEX(Produits!$D:$D,MATCH(B301,Produits!$A:$A,0)),0)</f>
        <v/>
      </c>
      <c r="F301" s="34" t="n">
        <v>0</v>
      </c>
      <c r="G301" s="35">
        <f>IFERROR(INDEX(Produits!$E:$E,MATCH(B301,Produits!$A:$A,0)),0)</f>
        <v/>
      </c>
      <c r="H301" s="32">
        <f>ROUND(D301*E301*(1-F301),2)</f>
        <v/>
      </c>
      <c r="I301" s="32">
        <f>ROUND(H301*G301,2)</f>
        <v/>
      </c>
    </row>
    <row r="302">
      <c r="A302" s="30" t="inlineStr">
        <is>
          <t>FA-2026-0091</t>
        </is>
      </c>
      <c r="B302" s="30" t="inlineStr">
        <is>
          <t>CF-P</t>
        </is>
      </c>
      <c r="C302" s="30">
        <f>IFERROR(INDEX(Produits!$B:$B,MATCH(B302,Produits!$A:$A,0)),"Réf inconnue")</f>
        <v/>
      </c>
      <c r="D302" s="30" t="n">
        <v>5</v>
      </c>
      <c r="E302" s="32">
        <f>IFERROR(INDEX(Produits!$D:$D,MATCH(B302,Produits!$A:$A,0)),0)</f>
        <v/>
      </c>
      <c r="F302" s="34" t="n">
        <v>0.05</v>
      </c>
      <c r="G302" s="35">
        <f>IFERROR(INDEX(Produits!$E:$E,MATCH(B302,Produits!$A:$A,0)),0)</f>
        <v/>
      </c>
      <c r="H302" s="32">
        <f>ROUND(D302*E302*(1-F302),2)</f>
        <v/>
      </c>
      <c r="I302" s="32">
        <f>ROUND(H302*G302,2)</f>
        <v/>
      </c>
    </row>
    <row r="303">
      <c r="A303" s="30" t="inlineStr">
        <is>
          <t>FA-2026-0092</t>
        </is>
      </c>
      <c r="B303" s="30" t="inlineStr">
        <is>
          <t>HO-5</t>
        </is>
      </c>
      <c r="C303" s="30">
        <f>IFERROR(INDEX(Produits!$B:$B,MATCH(B303,Produits!$A:$A,0)),"Réf inconnue")</f>
        <v/>
      </c>
      <c r="D303" s="30" t="n">
        <v>6</v>
      </c>
      <c r="E303" s="32">
        <f>IFERROR(INDEX(Produits!$D:$D,MATCH(B303,Produits!$A:$A,0)),0)</f>
        <v/>
      </c>
      <c r="F303" s="34" t="n">
        <v>0</v>
      </c>
      <c r="G303" s="35">
        <f>IFERROR(INDEX(Produits!$E:$E,MATCH(B303,Produits!$A:$A,0)),0)</f>
        <v/>
      </c>
      <c r="H303" s="32">
        <f>ROUND(D303*E303*(1-F303),2)</f>
        <v/>
      </c>
      <c r="I303" s="32">
        <f>ROUND(H303*G303,2)</f>
        <v/>
      </c>
    </row>
    <row r="304">
      <c r="A304" s="30" t="inlineStr">
        <is>
          <t>FA-2026-0092</t>
        </is>
      </c>
      <c r="B304" s="30" t="inlineStr">
        <is>
          <t>OL-V</t>
        </is>
      </c>
      <c r="C304" s="30">
        <f>IFERROR(INDEX(Produits!$B:$B,MATCH(B304,Produits!$A:$A,0)),"Réf inconnue")</f>
        <v/>
      </c>
      <c r="D304" s="30" t="n">
        <v>32</v>
      </c>
      <c r="E304" s="32">
        <f>IFERROR(INDEX(Produits!$D:$D,MATCH(B304,Produits!$A:$A,0)),0)</f>
        <v/>
      </c>
      <c r="F304" s="34" t="n">
        <v>0</v>
      </c>
      <c r="G304" s="35">
        <f>IFERROR(INDEX(Produits!$E:$E,MATCH(B304,Produits!$A:$A,0)),0)</f>
        <v/>
      </c>
      <c r="H304" s="32">
        <f>ROUND(D304*E304*(1-F304),2)</f>
        <v/>
      </c>
      <c r="I304" s="32">
        <f>ROUND(H304*G304,2)</f>
        <v/>
      </c>
    </row>
    <row r="305">
      <c r="A305" s="30" t="inlineStr">
        <is>
          <t>FA-2026-0092</t>
        </is>
      </c>
      <c r="B305" s="30" t="inlineStr">
        <is>
          <t>OL-N</t>
        </is>
      </c>
      <c r="C305" s="30">
        <f>IFERROR(INDEX(Produits!$B:$B,MATCH(B305,Produits!$A:$A,0)),"Réf inconnue")</f>
        <v/>
      </c>
      <c r="D305" s="30" t="n">
        <v>23</v>
      </c>
      <c r="E305" s="32">
        <f>IFERROR(INDEX(Produits!$D:$D,MATCH(B305,Produits!$A:$A,0)),0)</f>
        <v/>
      </c>
      <c r="F305" s="34" t="n">
        <v>0</v>
      </c>
      <c r="G305" s="35">
        <f>IFERROR(INDEX(Produits!$E:$E,MATCH(B305,Produits!$A:$A,0)),0)</f>
        <v/>
      </c>
      <c r="H305" s="32">
        <f>ROUND(D305*E305*(1-F305),2)</f>
        <v/>
      </c>
      <c r="I305" s="32">
        <f>ROUND(H305*G305,2)</f>
        <v/>
      </c>
    </row>
    <row r="306">
      <c r="A306" s="30" t="inlineStr">
        <is>
          <t>FA-2026-0092</t>
        </is>
      </c>
      <c r="B306" s="30" t="inlineStr">
        <is>
          <t>CF-D</t>
        </is>
      </c>
      <c r="C306" s="30">
        <f>IFERROR(INDEX(Produits!$B:$B,MATCH(B306,Produits!$A:$A,0)),"Réf inconnue")</f>
        <v/>
      </c>
      <c r="D306" s="30" t="n">
        <v>4</v>
      </c>
      <c r="E306" s="32">
        <f>IFERROR(INDEX(Produits!$D:$D,MATCH(B306,Produits!$A:$A,0)),0)</f>
        <v/>
      </c>
      <c r="F306" s="34" t="n">
        <v>0</v>
      </c>
      <c r="G306" s="35">
        <f>IFERROR(INDEX(Produits!$E:$E,MATCH(B306,Produits!$A:$A,0)),0)</f>
        <v/>
      </c>
      <c r="H306" s="32">
        <f>ROUND(D306*E306*(1-F306),2)</f>
        <v/>
      </c>
      <c r="I306" s="32">
        <f>ROUND(H306*G306,2)</f>
        <v/>
      </c>
    </row>
    <row r="307">
      <c r="A307" s="30" t="inlineStr">
        <is>
          <t>FA-2026-0092</t>
        </is>
      </c>
      <c r="B307" s="30" t="inlineStr">
        <is>
          <t>CF-P</t>
        </is>
      </c>
      <c r="C307" s="30">
        <f>IFERROR(INDEX(Produits!$B:$B,MATCH(B307,Produits!$A:$A,0)),"Réf inconnue")</f>
        <v/>
      </c>
      <c r="D307" s="30" t="n">
        <v>4</v>
      </c>
      <c r="E307" s="32">
        <f>IFERROR(INDEX(Produits!$D:$D,MATCH(B307,Produits!$A:$A,0)),0)</f>
        <v/>
      </c>
      <c r="F307" s="34" t="n">
        <v>0</v>
      </c>
      <c r="G307" s="35">
        <f>IFERROR(INDEX(Produits!$E:$E,MATCH(B307,Produits!$A:$A,0)),0)</f>
        <v/>
      </c>
      <c r="H307" s="32">
        <f>ROUND(D307*E307*(1-F307),2)</f>
        <v/>
      </c>
      <c r="I307" s="32">
        <f>ROUND(H307*G307,2)</f>
        <v/>
      </c>
    </row>
    <row r="308">
      <c r="A308" s="30" t="inlineStr">
        <is>
          <t>FA-2026-0093</t>
        </is>
      </c>
      <c r="B308" s="30" t="inlineStr">
        <is>
          <t>SV-O</t>
        </is>
      </c>
      <c r="C308" s="30">
        <f>IFERROR(INDEX(Produits!$B:$B,MATCH(B308,Produits!$A:$A,0)),"Réf inconnue")</f>
        <v/>
      </c>
      <c r="D308" s="30" t="n">
        <v>7</v>
      </c>
      <c r="E308" s="32">
        <f>IFERROR(INDEX(Produits!$D:$D,MATCH(B308,Produits!$A:$A,0)),0)</f>
        <v/>
      </c>
      <c r="F308" s="34" t="n">
        <v>0</v>
      </c>
      <c r="G308" s="35">
        <f>IFERROR(INDEX(Produits!$E:$E,MATCH(B308,Produits!$A:$A,0)),0)</f>
        <v/>
      </c>
      <c r="H308" s="32">
        <f>ROUND(D308*E308*(1-F308),2)</f>
        <v/>
      </c>
      <c r="I308" s="32">
        <f>ROUND(H308*G308,2)</f>
        <v/>
      </c>
    </row>
    <row r="309">
      <c r="A309" s="30" t="inlineStr">
        <is>
          <t>FA-2026-0093</t>
        </is>
      </c>
      <c r="B309" s="30" t="inlineStr">
        <is>
          <t>OL-V</t>
        </is>
      </c>
      <c r="C309" s="30">
        <f>IFERROR(INDEX(Produits!$B:$B,MATCH(B309,Produits!$A:$A,0)),"Réf inconnue")</f>
        <v/>
      </c>
      <c r="D309" s="30" t="n">
        <v>14</v>
      </c>
      <c r="E309" s="32">
        <f>IFERROR(INDEX(Produits!$D:$D,MATCH(B309,Produits!$A:$A,0)),0)</f>
        <v/>
      </c>
      <c r="F309" s="34" t="n">
        <v>0</v>
      </c>
      <c r="G309" s="35">
        <f>IFERROR(INDEX(Produits!$E:$E,MATCH(B309,Produits!$A:$A,0)),0)</f>
        <v/>
      </c>
      <c r="H309" s="32">
        <f>ROUND(D309*E309*(1-F309),2)</f>
        <v/>
      </c>
      <c r="I309" s="32">
        <f>ROUND(H309*G309,2)</f>
        <v/>
      </c>
    </row>
    <row r="310">
      <c r="A310" s="30" t="inlineStr">
        <is>
          <t>FA-2026-0093</t>
        </is>
      </c>
      <c r="B310" s="30" t="inlineStr">
        <is>
          <t>CF-P</t>
        </is>
      </c>
      <c r="C310" s="30">
        <f>IFERROR(INDEX(Produits!$B:$B,MATCH(B310,Produits!$A:$A,0)),"Réf inconnue")</f>
        <v/>
      </c>
      <c r="D310" s="30" t="n">
        <v>1</v>
      </c>
      <c r="E310" s="32">
        <f>IFERROR(INDEX(Produits!$D:$D,MATCH(B310,Produits!$A:$A,0)),0)</f>
        <v/>
      </c>
      <c r="F310" s="34" t="n">
        <v>0</v>
      </c>
      <c r="G310" s="35">
        <f>IFERROR(INDEX(Produits!$E:$E,MATCH(B310,Produits!$A:$A,0)),0)</f>
        <v/>
      </c>
      <c r="H310" s="32">
        <f>ROUND(D310*E310*(1-F310),2)</f>
        <v/>
      </c>
      <c r="I310" s="32">
        <f>ROUND(H310*G310,2)</f>
        <v/>
      </c>
    </row>
    <row r="311">
      <c r="A311" s="30" t="inlineStr">
        <is>
          <t>FA-2026-0093</t>
        </is>
      </c>
      <c r="B311" s="30" t="inlineStr">
        <is>
          <t>CF-D</t>
        </is>
      </c>
      <c r="C311" s="30">
        <f>IFERROR(INDEX(Produits!$B:$B,MATCH(B311,Produits!$A:$A,0)),"Réf inconnue")</f>
        <v/>
      </c>
      <c r="D311" s="30" t="n">
        <v>2</v>
      </c>
      <c r="E311" s="32">
        <f>IFERROR(INDEX(Produits!$D:$D,MATCH(B311,Produits!$A:$A,0)),0)</f>
        <v/>
      </c>
      <c r="F311" s="34" t="n">
        <v>0</v>
      </c>
      <c r="G311" s="35">
        <f>IFERROR(INDEX(Produits!$E:$E,MATCH(B311,Produits!$A:$A,0)),0)</f>
        <v/>
      </c>
      <c r="H311" s="32">
        <f>ROUND(D311*E311*(1-F311),2)</f>
        <v/>
      </c>
      <c r="I311" s="32">
        <f>ROUND(H311*G311,2)</f>
        <v/>
      </c>
    </row>
    <row r="312">
      <c r="A312" s="30" t="inlineStr">
        <is>
          <t>FA-2026-0093</t>
        </is>
      </c>
      <c r="B312" s="30" t="inlineStr">
        <is>
          <t>TP-O</t>
        </is>
      </c>
      <c r="C312" s="30">
        <f>IFERROR(INDEX(Produits!$B:$B,MATCH(B312,Produits!$A:$A,0)),"Réf inconnue")</f>
        <v/>
      </c>
      <c r="D312" s="30" t="n">
        <v>6</v>
      </c>
      <c r="E312" s="32">
        <f>IFERROR(INDEX(Produits!$D:$D,MATCH(B312,Produits!$A:$A,0)),0)</f>
        <v/>
      </c>
      <c r="F312" s="34" t="n">
        <v>0</v>
      </c>
      <c r="G312" s="35">
        <f>IFERROR(INDEX(Produits!$E:$E,MATCH(B312,Produits!$A:$A,0)),0)</f>
        <v/>
      </c>
      <c r="H312" s="32">
        <f>ROUND(D312*E312*(1-F312),2)</f>
        <v/>
      </c>
      <c r="I312" s="32">
        <f>ROUND(H312*G312,2)</f>
        <v/>
      </c>
    </row>
    <row r="313">
      <c r="A313" s="30" t="inlineStr">
        <is>
          <t>FA-2026-0094</t>
        </is>
      </c>
      <c r="B313" s="30" t="inlineStr">
        <is>
          <t>HO-5</t>
        </is>
      </c>
      <c r="C313" s="30">
        <f>IFERROR(INDEX(Produits!$B:$B,MATCH(B313,Produits!$A:$A,0)),"Réf inconnue")</f>
        <v/>
      </c>
      <c r="D313" s="30" t="n">
        <v>30</v>
      </c>
      <c r="E313" s="32">
        <f>IFERROR(INDEX(Produits!$D:$D,MATCH(B313,Produits!$A:$A,0)),0)</f>
        <v/>
      </c>
      <c r="F313" s="34" t="n">
        <v>0</v>
      </c>
      <c r="G313" s="35">
        <f>IFERROR(INDEX(Produits!$E:$E,MATCH(B313,Produits!$A:$A,0)),0)</f>
        <v/>
      </c>
      <c r="H313" s="32">
        <f>ROUND(D313*E313*(1-F313),2)</f>
        <v/>
      </c>
      <c r="I313" s="32">
        <f>ROUND(H313*G313,2)</f>
        <v/>
      </c>
    </row>
    <row r="314">
      <c r="A314" s="30" t="inlineStr">
        <is>
          <t>FA-2026-0094</t>
        </is>
      </c>
      <c r="B314" s="30" t="inlineStr">
        <is>
          <t>HO-T3</t>
        </is>
      </c>
      <c r="C314" s="30">
        <f>IFERROR(INDEX(Produits!$B:$B,MATCH(B314,Produits!$A:$A,0)),"Réf inconnue")</f>
        <v/>
      </c>
      <c r="D314" s="30" t="n">
        <v>5</v>
      </c>
      <c r="E314" s="32">
        <f>IFERROR(INDEX(Produits!$D:$D,MATCH(B314,Produits!$A:$A,0)),0)</f>
        <v/>
      </c>
      <c r="F314" s="34" t="n">
        <v>0</v>
      </c>
      <c r="G314" s="35">
        <f>IFERROR(INDEX(Produits!$E:$E,MATCH(B314,Produits!$A:$A,0)),0)</f>
        <v/>
      </c>
      <c r="H314" s="32">
        <f>ROUND(D314*E314*(1-F314),2)</f>
        <v/>
      </c>
      <c r="I314" s="32">
        <f>ROUND(H314*G314,2)</f>
        <v/>
      </c>
    </row>
    <row r="315">
      <c r="A315" s="30" t="inlineStr">
        <is>
          <t>FA-2026-0094</t>
        </is>
      </c>
      <c r="B315" s="30" t="inlineStr">
        <is>
          <t>SV-O</t>
        </is>
      </c>
      <c r="C315" s="30">
        <f>IFERROR(INDEX(Produits!$B:$B,MATCH(B315,Produits!$A:$A,0)),"Réf inconnue")</f>
        <v/>
      </c>
      <c r="D315" s="30" t="n">
        <v>31</v>
      </c>
      <c r="E315" s="32">
        <f>IFERROR(INDEX(Produits!$D:$D,MATCH(B315,Produits!$A:$A,0)),0)</f>
        <v/>
      </c>
      <c r="F315" s="34" t="n">
        <v>0</v>
      </c>
      <c r="G315" s="35">
        <f>IFERROR(INDEX(Produits!$E:$E,MATCH(B315,Produits!$A:$A,0)),0)</f>
        <v/>
      </c>
      <c r="H315" s="32">
        <f>ROUND(D315*E315*(1-F315),2)</f>
        <v/>
      </c>
      <c r="I315" s="32">
        <f>ROUND(H315*G315,2)</f>
        <v/>
      </c>
    </row>
    <row r="316">
      <c r="A316" s="30" t="inlineStr">
        <is>
          <t>FA-2026-0095</t>
        </is>
      </c>
      <c r="B316" s="30" t="inlineStr">
        <is>
          <t>HO-5</t>
        </is>
      </c>
      <c r="C316" s="30">
        <f>IFERROR(INDEX(Produits!$B:$B,MATCH(B316,Produits!$A:$A,0)),"Réf inconnue")</f>
        <v/>
      </c>
      <c r="D316" s="30" t="n">
        <v>5</v>
      </c>
      <c r="E316" s="32">
        <f>IFERROR(INDEX(Produits!$D:$D,MATCH(B316,Produits!$A:$A,0)),0)</f>
        <v/>
      </c>
      <c r="F316" s="34" t="n">
        <v>0</v>
      </c>
      <c r="G316" s="35">
        <f>IFERROR(INDEX(Produits!$E:$E,MATCH(B316,Produits!$A:$A,0)),0)</f>
        <v/>
      </c>
      <c r="H316" s="32">
        <f>ROUND(D316*E316*(1-F316),2)</f>
        <v/>
      </c>
      <c r="I316" s="32">
        <f>ROUND(H316*G316,2)</f>
        <v/>
      </c>
    </row>
    <row r="317">
      <c r="A317" s="30" t="inlineStr">
        <is>
          <t>FA-2026-0095</t>
        </is>
      </c>
      <c r="B317" s="30" t="inlineStr">
        <is>
          <t>TP-O</t>
        </is>
      </c>
      <c r="C317" s="30">
        <f>IFERROR(INDEX(Produits!$B:$B,MATCH(B317,Produits!$A:$A,0)),"Réf inconnue")</f>
        <v/>
      </c>
      <c r="D317" s="30" t="n">
        <v>6</v>
      </c>
      <c r="E317" s="32">
        <f>IFERROR(INDEX(Produits!$D:$D,MATCH(B317,Produits!$A:$A,0)),0)</f>
        <v/>
      </c>
      <c r="F317" s="34" t="n">
        <v>0</v>
      </c>
      <c r="G317" s="35">
        <f>IFERROR(INDEX(Produits!$E:$E,MATCH(B317,Produits!$A:$A,0)),0)</f>
        <v/>
      </c>
      <c r="H317" s="32">
        <f>ROUND(D317*E317*(1-F317),2)</f>
        <v/>
      </c>
      <c r="I317" s="32">
        <f>ROUND(H317*G317,2)</f>
        <v/>
      </c>
    </row>
    <row r="318">
      <c r="A318" s="30" t="inlineStr">
        <is>
          <t>FA-2026-0096</t>
        </is>
      </c>
      <c r="B318" s="30" t="inlineStr">
        <is>
          <t>SV-O</t>
        </is>
      </c>
      <c r="C318" s="30">
        <f>IFERROR(INDEX(Produits!$B:$B,MATCH(B318,Produits!$A:$A,0)),"Réf inconnue")</f>
        <v/>
      </c>
      <c r="D318" s="30" t="n">
        <v>13</v>
      </c>
      <c r="E318" s="32">
        <f>IFERROR(INDEX(Produits!$D:$D,MATCH(B318,Produits!$A:$A,0)),0)</f>
        <v/>
      </c>
      <c r="F318" s="34" t="n">
        <v>0</v>
      </c>
      <c r="G318" s="35">
        <f>IFERROR(INDEX(Produits!$E:$E,MATCH(B318,Produits!$A:$A,0)),0)</f>
        <v/>
      </c>
      <c r="H318" s="32">
        <f>ROUND(D318*E318*(1-F318),2)</f>
        <v/>
      </c>
      <c r="I318" s="32">
        <f>ROUND(H318*G318,2)</f>
        <v/>
      </c>
    </row>
    <row r="319">
      <c r="A319" s="30" t="inlineStr">
        <is>
          <t>FA-2026-0096</t>
        </is>
      </c>
      <c r="B319" s="30" t="inlineStr">
        <is>
          <t>OL-N</t>
        </is>
      </c>
      <c r="C319" s="30">
        <f>IFERROR(INDEX(Produits!$B:$B,MATCH(B319,Produits!$A:$A,0)),"Réf inconnue")</f>
        <v/>
      </c>
      <c r="D319" s="30" t="n">
        <v>16</v>
      </c>
      <c r="E319" s="32">
        <f>IFERROR(INDEX(Produits!$D:$D,MATCH(B319,Produits!$A:$A,0)),0)</f>
        <v/>
      </c>
      <c r="F319" s="34" t="n">
        <v>0</v>
      </c>
      <c r="G319" s="35">
        <f>IFERROR(INDEX(Produits!$E:$E,MATCH(B319,Produits!$A:$A,0)),0)</f>
        <v/>
      </c>
      <c r="H319" s="32">
        <f>ROUND(D319*E319*(1-F319),2)</f>
        <v/>
      </c>
      <c r="I319" s="32">
        <f>ROUND(H319*G319,2)</f>
        <v/>
      </c>
    </row>
    <row r="320">
      <c r="A320" s="30" t="inlineStr">
        <is>
          <t>FA-2026-0096</t>
        </is>
      </c>
      <c r="B320" s="30" t="inlineStr">
        <is>
          <t>CF-D</t>
        </is>
      </c>
      <c r="C320" s="30">
        <f>IFERROR(INDEX(Produits!$B:$B,MATCH(B320,Produits!$A:$A,0)),"Réf inconnue")</f>
        <v/>
      </c>
      <c r="D320" s="30" t="n">
        <v>3</v>
      </c>
      <c r="E320" s="32">
        <f>IFERROR(INDEX(Produits!$D:$D,MATCH(B320,Produits!$A:$A,0)),0)</f>
        <v/>
      </c>
      <c r="F320" s="34" t="n">
        <v>0</v>
      </c>
      <c r="G320" s="35">
        <f>IFERROR(INDEX(Produits!$E:$E,MATCH(B320,Produits!$A:$A,0)),0)</f>
        <v/>
      </c>
      <c r="H320" s="32">
        <f>ROUND(D320*E320*(1-F320),2)</f>
        <v/>
      </c>
      <c r="I320" s="32">
        <f>ROUND(H320*G320,2)</f>
        <v/>
      </c>
    </row>
    <row r="321">
      <c r="A321" s="30" t="inlineStr">
        <is>
          <t>FA-2026-0096</t>
        </is>
      </c>
      <c r="B321" s="30" t="inlineStr">
        <is>
          <t>HO-5</t>
        </is>
      </c>
      <c r="C321" s="30">
        <f>IFERROR(INDEX(Produits!$B:$B,MATCH(B321,Produits!$A:$A,0)),"Réf inconnue")</f>
        <v/>
      </c>
      <c r="D321" s="30" t="n">
        <v>18</v>
      </c>
      <c r="E321" s="32">
        <f>IFERROR(INDEX(Produits!$D:$D,MATCH(B321,Produits!$A:$A,0)),0)</f>
        <v/>
      </c>
      <c r="F321" s="34" t="n">
        <v>0.05</v>
      </c>
      <c r="G321" s="35">
        <f>IFERROR(INDEX(Produits!$E:$E,MATCH(B321,Produits!$A:$A,0)),0)</f>
        <v/>
      </c>
      <c r="H321" s="32">
        <f>ROUND(D321*E321*(1-F321),2)</f>
        <v/>
      </c>
      <c r="I321" s="32">
        <f>ROUND(H321*G321,2)</f>
        <v/>
      </c>
    </row>
    <row r="322">
      <c r="A322" s="30" t="inlineStr">
        <is>
          <t>FA-2026-0097</t>
        </is>
      </c>
      <c r="B322" s="30" t="inlineStr">
        <is>
          <t>TP-O</t>
        </is>
      </c>
      <c r="C322" s="30">
        <f>IFERROR(INDEX(Produits!$B:$B,MATCH(B322,Produits!$A:$A,0)),"Réf inconnue")</f>
        <v/>
      </c>
      <c r="D322" s="30" t="n">
        <v>17</v>
      </c>
      <c r="E322" s="32">
        <f>IFERROR(INDEX(Produits!$D:$D,MATCH(B322,Produits!$A:$A,0)),0)</f>
        <v/>
      </c>
      <c r="F322" s="34" t="n">
        <v>0</v>
      </c>
      <c r="G322" s="35">
        <f>IFERROR(INDEX(Produits!$E:$E,MATCH(B322,Produits!$A:$A,0)),0)</f>
        <v/>
      </c>
      <c r="H322" s="32">
        <f>ROUND(D322*E322*(1-F322),2)</f>
        <v/>
      </c>
      <c r="I322" s="32">
        <f>ROUND(H322*G322,2)</f>
        <v/>
      </c>
    </row>
    <row r="323">
      <c r="A323" s="30" t="inlineStr">
        <is>
          <t>FA-2026-0097</t>
        </is>
      </c>
      <c r="B323" s="30" t="inlineStr">
        <is>
          <t>HO-T3</t>
        </is>
      </c>
      <c r="C323" s="30">
        <f>IFERROR(INDEX(Produits!$B:$B,MATCH(B323,Produits!$A:$A,0)),"Réf inconnue")</f>
        <v/>
      </c>
      <c r="D323" s="30" t="n">
        <v>19</v>
      </c>
      <c r="E323" s="32">
        <f>IFERROR(INDEX(Produits!$D:$D,MATCH(B323,Produits!$A:$A,0)),0)</f>
        <v/>
      </c>
      <c r="F323" s="34" t="n">
        <v>0</v>
      </c>
      <c r="G323" s="35">
        <f>IFERROR(INDEX(Produits!$E:$E,MATCH(B323,Produits!$A:$A,0)),0)</f>
        <v/>
      </c>
      <c r="H323" s="32">
        <f>ROUND(D323*E323*(1-F323),2)</f>
        <v/>
      </c>
      <c r="I323" s="32">
        <f>ROUND(H323*G323,2)</f>
        <v/>
      </c>
    </row>
    <row r="324">
      <c r="A324" s="30" t="inlineStr">
        <is>
          <t>FA-2026-0098</t>
        </is>
      </c>
      <c r="B324" s="30" t="inlineStr">
        <is>
          <t>CF-P</t>
        </is>
      </c>
      <c r="C324" s="30">
        <f>IFERROR(INDEX(Produits!$B:$B,MATCH(B324,Produits!$A:$A,0)),"Réf inconnue")</f>
        <v/>
      </c>
      <c r="D324" s="30" t="n">
        <v>1</v>
      </c>
      <c r="E324" s="32">
        <f>IFERROR(INDEX(Produits!$D:$D,MATCH(B324,Produits!$A:$A,0)),0)</f>
        <v/>
      </c>
      <c r="F324" s="34" t="n">
        <v>0</v>
      </c>
      <c r="G324" s="35">
        <f>IFERROR(INDEX(Produits!$E:$E,MATCH(B324,Produits!$A:$A,0)),0)</f>
        <v/>
      </c>
      <c r="H324" s="32">
        <f>ROUND(D324*E324*(1-F324),2)</f>
        <v/>
      </c>
      <c r="I324" s="32">
        <f>ROUND(H324*G324,2)</f>
        <v/>
      </c>
    </row>
    <row r="325">
      <c r="A325" s="30" t="inlineStr">
        <is>
          <t>FA-2026-0098</t>
        </is>
      </c>
      <c r="B325" s="30" t="inlineStr">
        <is>
          <t>HO-5</t>
        </is>
      </c>
      <c r="C325" s="30">
        <f>IFERROR(INDEX(Produits!$B:$B,MATCH(B325,Produits!$A:$A,0)),"Réf inconnue")</f>
        <v/>
      </c>
      <c r="D325" s="30" t="n">
        <v>19</v>
      </c>
      <c r="E325" s="32">
        <f>IFERROR(INDEX(Produits!$D:$D,MATCH(B325,Produits!$A:$A,0)),0)</f>
        <v/>
      </c>
      <c r="F325" s="34" t="n">
        <v>0</v>
      </c>
      <c r="G325" s="35">
        <f>IFERROR(INDEX(Produits!$E:$E,MATCH(B325,Produits!$A:$A,0)),0)</f>
        <v/>
      </c>
      <c r="H325" s="32">
        <f>ROUND(D325*E325*(1-F325),2)</f>
        <v/>
      </c>
      <c r="I325" s="32">
        <f>ROUND(H325*G325,2)</f>
        <v/>
      </c>
    </row>
    <row r="326">
      <c r="A326" s="30" t="inlineStr">
        <is>
          <t>FA-2026-0098</t>
        </is>
      </c>
      <c r="B326" s="30" t="inlineStr">
        <is>
          <t>OL-V</t>
        </is>
      </c>
      <c r="C326" s="30">
        <f>IFERROR(INDEX(Produits!$B:$B,MATCH(B326,Produits!$A:$A,0)),"Réf inconnue")</f>
        <v/>
      </c>
      <c r="D326" s="30" t="n">
        <v>8</v>
      </c>
      <c r="E326" s="32">
        <f>IFERROR(INDEX(Produits!$D:$D,MATCH(B326,Produits!$A:$A,0)),0)</f>
        <v/>
      </c>
      <c r="F326" s="34" t="n">
        <v>0</v>
      </c>
      <c r="G326" s="35">
        <f>IFERROR(INDEX(Produits!$E:$E,MATCH(B326,Produits!$A:$A,0)),0)</f>
        <v/>
      </c>
      <c r="H326" s="32">
        <f>ROUND(D326*E326*(1-F326),2)</f>
        <v/>
      </c>
      <c r="I326" s="32">
        <f>ROUND(H326*G326,2)</f>
        <v/>
      </c>
    </row>
    <row r="327">
      <c r="A327" s="30" t="inlineStr">
        <is>
          <t>FA-2026-0098</t>
        </is>
      </c>
      <c r="B327" s="30" t="inlineStr">
        <is>
          <t>HO-05</t>
        </is>
      </c>
      <c r="C327" s="30">
        <f>IFERROR(INDEX(Produits!$B:$B,MATCH(B327,Produits!$A:$A,0)),"Réf inconnue")</f>
        <v/>
      </c>
      <c r="D327" s="30" t="n">
        <v>12</v>
      </c>
      <c r="E327" s="32">
        <f>IFERROR(INDEX(Produits!$D:$D,MATCH(B327,Produits!$A:$A,0)),0)</f>
        <v/>
      </c>
      <c r="F327" s="34" t="n">
        <v>0</v>
      </c>
      <c r="G327" s="35">
        <f>IFERROR(INDEX(Produits!$E:$E,MATCH(B327,Produits!$A:$A,0)),0)</f>
        <v/>
      </c>
      <c r="H327" s="32">
        <f>ROUND(D327*E327*(1-F327),2)</f>
        <v/>
      </c>
      <c r="I327" s="32">
        <f>ROUND(H327*G327,2)</f>
        <v/>
      </c>
    </row>
    <row r="328">
      <c r="A328" s="30" t="inlineStr">
        <is>
          <t>FA-2026-0098</t>
        </is>
      </c>
      <c r="B328" s="30" t="inlineStr">
        <is>
          <t>HO-T3</t>
        </is>
      </c>
      <c r="C328" s="30">
        <f>IFERROR(INDEX(Produits!$B:$B,MATCH(B328,Produits!$A:$A,0)),"Réf inconnue")</f>
        <v/>
      </c>
      <c r="D328" s="30" t="n">
        <v>7</v>
      </c>
      <c r="E328" s="32">
        <f>IFERROR(INDEX(Produits!$D:$D,MATCH(B328,Produits!$A:$A,0)),0)</f>
        <v/>
      </c>
      <c r="F328" s="34" t="n">
        <v>0</v>
      </c>
      <c r="G328" s="35">
        <f>IFERROR(INDEX(Produits!$E:$E,MATCH(B328,Produits!$A:$A,0)),0)</f>
        <v/>
      </c>
      <c r="H328" s="32">
        <f>ROUND(D328*E328*(1-F328),2)</f>
        <v/>
      </c>
      <c r="I328" s="32">
        <f>ROUND(H328*G328,2)</f>
        <v/>
      </c>
    </row>
    <row r="329">
      <c r="A329" s="30" t="inlineStr">
        <is>
          <t>FA-2026-0099</t>
        </is>
      </c>
      <c r="B329" s="30" t="inlineStr">
        <is>
          <t>OL-N</t>
        </is>
      </c>
      <c r="C329" s="30">
        <f>IFERROR(INDEX(Produits!$B:$B,MATCH(B329,Produits!$A:$A,0)),"Réf inconnue")</f>
        <v/>
      </c>
      <c r="D329" s="30" t="n">
        <v>30</v>
      </c>
      <c r="E329" s="32">
        <f>IFERROR(INDEX(Produits!$D:$D,MATCH(B329,Produits!$A:$A,0)),0)</f>
        <v/>
      </c>
      <c r="F329" s="34" t="n">
        <v>0</v>
      </c>
      <c r="G329" s="35">
        <f>IFERROR(INDEX(Produits!$E:$E,MATCH(B329,Produits!$A:$A,0)),0)</f>
        <v/>
      </c>
      <c r="H329" s="32">
        <f>ROUND(D329*E329*(1-F329),2)</f>
        <v/>
      </c>
      <c r="I329" s="32">
        <f>ROUND(H329*G329,2)</f>
        <v/>
      </c>
    </row>
    <row r="330">
      <c r="A330" s="30" t="inlineStr">
        <is>
          <t>FA-2026-0099</t>
        </is>
      </c>
      <c r="B330" s="30" t="inlineStr">
        <is>
          <t>HO-1</t>
        </is>
      </c>
      <c r="C330" s="30">
        <f>IFERROR(INDEX(Produits!$B:$B,MATCH(B330,Produits!$A:$A,0)),"Réf inconnue")</f>
        <v/>
      </c>
      <c r="D330" s="30" t="n">
        <v>46</v>
      </c>
      <c r="E330" s="32">
        <f>IFERROR(INDEX(Produits!$D:$D,MATCH(B330,Produits!$A:$A,0)),0)</f>
        <v/>
      </c>
      <c r="F330" s="34" t="n">
        <v>0</v>
      </c>
      <c r="G330" s="35">
        <f>IFERROR(INDEX(Produits!$E:$E,MATCH(B330,Produits!$A:$A,0)),0)</f>
        <v/>
      </c>
      <c r="H330" s="32">
        <f>ROUND(D330*E330*(1-F330),2)</f>
        <v/>
      </c>
      <c r="I330" s="32">
        <f>ROUND(H330*G330,2)</f>
        <v/>
      </c>
    </row>
    <row r="331">
      <c r="A331" s="30" t="inlineStr">
        <is>
          <t>FA-2026-0099</t>
        </is>
      </c>
      <c r="B331" s="30" t="inlineStr">
        <is>
          <t>HO-05</t>
        </is>
      </c>
      <c r="C331" s="30">
        <f>IFERROR(INDEX(Produits!$B:$B,MATCH(B331,Produits!$A:$A,0)),"Réf inconnue")</f>
        <v/>
      </c>
      <c r="D331" s="30" t="n">
        <v>33</v>
      </c>
      <c r="E331" s="32">
        <f>IFERROR(INDEX(Produits!$D:$D,MATCH(B331,Produits!$A:$A,0)),0)</f>
        <v/>
      </c>
      <c r="F331" s="34" t="n">
        <v>0.03</v>
      </c>
      <c r="G331" s="35">
        <f>IFERROR(INDEX(Produits!$E:$E,MATCH(B331,Produits!$A:$A,0)),0)</f>
        <v/>
      </c>
      <c r="H331" s="32">
        <f>ROUND(D331*E331*(1-F331),2)</f>
        <v/>
      </c>
      <c r="I331" s="32">
        <f>ROUND(H331*G331,2)</f>
        <v/>
      </c>
    </row>
    <row r="332">
      <c r="A332" s="30" t="inlineStr">
        <is>
          <t>FA-2026-0099</t>
        </is>
      </c>
      <c r="B332" s="30" t="inlineStr">
        <is>
          <t>SV-O</t>
        </is>
      </c>
      <c r="C332" s="30">
        <f>IFERROR(INDEX(Produits!$B:$B,MATCH(B332,Produits!$A:$A,0)),"Réf inconnue")</f>
        <v/>
      </c>
      <c r="D332" s="30" t="n">
        <v>14</v>
      </c>
      <c r="E332" s="32">
        <f>IFERROR(INDEX(Produits!$D:$D,MATCH(B332,Produits!$A:$A,0)),0)</f>
        <v/>
      </c>
      <c r="F332" s="34" t="n">
        <v>0</v>
      </c>
      <c r="G332" s="35">
        <f>IFERROR(INDEX(Produits!$E:$E,MATCH(B332,Produits!$A:$A,0)),0)</f>
        <v/>
      </c>
      <c r="H332" s="32">
        <f>ROUND(D332*E332*(1-F332),2)</f>
        <v/>
      </c>
      <c r="I332" s="32">
        <f>ROUND(H332*G332,2)</f>
        <v/>
      </c>
    </row>
    <row r="333">
      <c r="A333" s="30" t="inlineStr">
        <is>
          <t>FA-2026-0099</t>
        </is>
      </c>
      <c r="B333" s="30" t="inlineStr">
        <is>
          <t>OL-V</t>
        </is>
      </c>
      <c r="C333" s="30">
        <f>IFERROR(INDEX(Produits!$B:$B,MATCH(B333,Produits!$A:$A,0)),"Réf inconnue")</f>
        <v/>
      </c>
      <c r="D333" s="30" t="n">
        <v>41</v>
      </c>
      <c r="E333" s="32">
        <f>IFERROR(INDEX(Produits!$D:$D,MATCH(B333,Produits!$A:$A,0)),0)</f>
        <v/>
      </c>
      <c r="F333" s="34" t="n">
        <v>0</v>
      </c>
      <c r="G333" s="35">
        <f>IFERROR(INDEX(Produits!$E:$E,MATCH(B333,Produits!$A:$A,0)),0)</f>
        <v/>
      </c>
      <c r="H333" s="32">
        <f>ROUND(D333*E333*(1-F333),2)</f>
        <v/>
      </c>
      <c r="I333" s="32">
        <f>ROUND(H333*G333,2)</f>
        <v/>
      </c>
    </row>
    <row r="334">
      <c r="A334" s="30" t="inlineStr">
        <is>
          <t>FA-2026-0100</t>
        </is>
      </c>
      <c r="B334" s="30" t="inlineStr">
        <is>
          <t>HO-5</t>
        </is>
      </c>
      <c r="C334" s="30">
        <f>IFERROR(INDEX(Produits!$B:$B,MATCH(B334,Produits!$A:$A,0)),"Réf inconnue")</f>
        <v/>
      </c>
      <c r="D334" s="30" t="n">
        <v>8</v>
      </c>
      <c r="E334" s="32">
        <f>IFERROR(INDEX(Produits!$D:$D,MATCH(B334,Produits!$A:$A,0)),0)</f>
        <v/>
      </c>
      <c r="F334" s="34" t="n">
        <v>0</v>
      </c>
      <c r="G334" s="35">
        <f>IFERROR(INDEX(Produits!$E:$E,MATCH(B334,Produits!$A:$A,0)),0)</f>
        <v/>
      </c>
      <c r="H334" s="32">
        <f>ROUND(D334*E334*(1-F334),2)</f>
        <v/>
      </c>
      <c r="I334" s="32">
        <f>ROUND(H334*G334,2)</f>
        <v/>
      </c>
    </row>
    <row r="335">
      <c r="A335" s="30" t="inlineStr">
        <is>
          <t>FA-2026-0100</t>
        </is>
      </c>
      <c r="B335" s="30" t="inlineStr">
        <is>
          <t>HO-1</t>
        </is>
      </c>
      <c r="C335" s="30">
        <f>IFERROR(INDEX(Produits!$B:$B,MATCH(B335,Produits!$A:$A,0)),"Réf inconnue")</f>
        <v/>
      </c>
      <c r="D335" s="30" t="n">
        <v>9</v>
      </c>
      <c r="E335" s="32">
        <f>IFERROR(INDEX(Produits!$D:$D,MATCH(B335,Produits!$A:$A,0)),0)</f>
        <v/>
      </c>
      <c r="F335" s="34" t="n">
        <v>0</v>
      </c>
      <c r="G335" s="35">
        <f>IFERROR(INDEX(Produits!$E:$E,MATCH(B335,Produits!$A:$A,0)),0)</f>
        <v/>
      </c>
      <c r="H335" s="32">
        <f>ROUND(D335*E335*(1-F335),2)</f>
        <v/>
      </c>
      <c r="I335" s="32">
        <f>ROUND(H335*G335,2)</f>
        <v/>
      </c>
    </row>
    <row r="336">
      <c r="A336" s="30" t="inlineStr">
        <is>
          <t>FA-2026-0100</t>
        </is>
      </c>
      <c r="B336" s="30" t="inlineStr">
        <is>
          <t>OL-V</t>
        </is>
      </c>
      <c r="C336" s="30">
        <f>IFERROR(INDEX(Produits!$B:$B,MATCH(B336,Produits!$A:$A,0)),"Réf inconnue")</f>
        <v/>
      </c>
      <c r="D336" s="30" t="n">
        <v>2</v>
      </c>
      <c r="E336" s="32">
        <f>IFERROR(INDEX(Produits!$D:$D,MATCH(B336,Produits!$A:$A,0)),0)</f>
        <v/>
      </c>
      <c r="F336" s="34" t="n">
        <v>0</v>
      </c>
      <c r="G336" s="35">
        <f>IFERROR(INDEX(Produits!$E:$E,MATCH(B336,Produits!$A:$A,0)),0)</f>
        <v/>
      </c>
      <c r="H336" s="32">
        <f>ROUND(D336*E336*(1-F336),2)</f>
        <v/>
      </c>
      <c r="I336" s="32">
        <f>ROUND(H336*G336,2)</f>
        <v/>
      </c>
    </row>
    <row r="337">
      <c r="A337" s="30" t="inlineStr">
        <is>
          <t>FA-2026-0100</t>
        </is>
      </c>
      <c r="B337" s="30" t="inlineStr">
        <is>
          <t>TP-O</t>
        </is>
      </c>
      <c r="C337" s="30">
        <f>IFERROR(INDEX(Produits!$B:$B,MATCH(B337,Produits!$A:$A,0)),"Réf inconnue")</f>
        <v/>
      </c>
      <c r="D337" s="30" t="n">
        <v>8</v>
      </c>
      <c r="E337" s="32">
        <f>IFERROR(INDEX(Produits!$D:$D,MATCH(B337,Produits!$A:$A,0)),0)</f>
        <v/>
      </c>
      <c r="F337" s="34" t="n">
        <v>0</v>
      </c>
      <c r="G337" s="35">
        <f>IFERROR(INDEX(Produits!$E:$E,MATCH(B337,Produits!$A:$A,0)),0)</f>
        <v/>
      </c>
      <c r="H337" s="32">
        <f>ROUND(D337*E337*(1-F337),2)</f>
        <v/>
      </c>
      <c r="I337" s="32">
        <f>ROUND(H337*G337,2)</f>
        <v/>
      </c>
    </row>
    <row r="338">
      <c r="A338" s="30" t="inlineStr">
        <is>
          <t>FA-2026-0100</t>
        </is>
      </c>
      <c r="B338" s="30" t="inlineStr">
        <is>
          <t>SV-O</t>
        </is>
      </c>
      <c r="C338" s="30">
        <f>IFERROR(INDEX(Produits!$B:$B,MATCH(B338,Produits!$A:$A,0)),"Réf inconnue")</f>
        <v/>
      </c>
      <c r="D338" s="30" t="n">
        <v>12</v>
      </c>
      <c r="E338" s="32">
        <f>IFERROR(INDEX(Produits!$D:$D,MATCH(B338,Produits!$A:$A,0)),0)</f>
        <v/>
      </c>
      <c r="F338" s="34" t="n">
        <v>0</v>
      </c>
      <c r="G338" s="35">
        <f>IFERROR(INDEX(Produits!$E:$E,MATCH(B338,Produits!$A:$A,0)),0)</f>
        <v/>
      </c>
      <c r="H338" s="32">
        <f>ROUND(D338*E338*(1-F338),2)</f>
        <v/>
      </c>
      <c r="I338" s="32">
        <f>ROUND(H338*G338,2)</f>
        <v/>
      </c>
    </row>
    <row r="339">
      <c r="A339" s="30" t="inlineStr">
        <is>
          <t>FA-2026-0101</t>
        </is>
      </c>
      <c r="B339" s="30" t="inlineStr">
        <is>
          <t>HO-T3</t>
        </is>
      </c>
      <c r="C339" s="30">
        <f>IFERROR(INDEX(Produits!$B:$B,MATCH(B339,Produits!$A:$A,0)),"Réf inconnue")</f>
        <v/>
      </c>
      <c r="D339" s="30" t="n">
        <v>6</v>
      </c>
      <c r="E339" s="32">
        <f>IFERROR(INDEX(Produits!$D:$D,MATCH(B339,Produits!$A:$A,0)),0)</f>
        <v/>
      </c>
      <c r="F339" s="34" t="n">
        <v>0</v>
      </c>
      <c r="G339" s="35">
        <f>IFERROR(INDEX(Produits!$E:$E,MATCH(B339,Produits!$A:$A,0)),0)</f>
        <v/>
      </c>
      <c r="H339" s="32">
        <f>ROUND(D339*E339*(1-F339),2)</f>
        <v/>
      </c>
      <c r="I339" s="32">
        <f>ROUND(H339*G339,2)</f>
        <v/>
      </c>
    </row>
    <row r="340">
      <c r="A340" s="30" t="inlineStr">
        <is>
          <t>FA-2026-0101</t>
        </is>
      </c>
      <c r="B340" s="30" t="inlineStr">
        <is>
          <t>CF-D</t>
        </is>
      </c>
      <c r="C340" s="30">
        <f>IFERROR(INDEX(Produits!$B:$B,MATCH(B340,Produits!$A:$A,0)),"Réf inconnue")</f>
        <v/>
      </c>
      <c r="D340" s="30" t="n">
        <v>1</v>
      </c>
      <c r="E340" s="32">
        <f>IFERROR(INDEX(Produits!$D:$D,MATCH(B340,Produits!$A:$A,0)),0)</f>
        <v/>
      </c>
      <c r="F340" s="34" t="n">
        <v>0</v>
      </c>
      <c r="G340" s="35">
        <f>IFERROR(INDEX(Produits!$E:$E,MATCH(B340,Produits!$A:$A,0)),0)</f>
        <v/>
      </c>
      <c r="H340" s="32">
        <f>ROUND(D340*E340*(1-F340),2)</f>
        <v/>
      </c>
      <c r="I340" s="32">
        <f>ROUND(H340*G340,2)</f>
        <v/>
      </c>
    </row>
    <row r="341">
      <c r="A341" s="30" t="inlineStr">
        <is>
          <t>FA-2026-0101</t>
        </is>
      </c>
      <c r="B341" s="30" t="inlineStr">
        <is>
          <t>HO-5</t>
        </is>
      </c>
      <c r="C341" s="30">
        <f>IFERROR(INDEX(Produits!$B:$B,MATCH(B341,Produits!$A:$A,0)),"Réf inconnue")</f>
        <v/>
      </c>
      <c r="D341" s="30" t="n">
        <v>10</v>
      </c>
      <c r="E341" s="32">
        <f>IFERROR(INDEX(Produits!$D:$D,MATCH(B341,Produits!$A:$A,0)),0)</f>
        <v/>
      </c>
      <c r="F341" s="34" t="n">
        <v>0</v>
      </c>
      <c r="G341" s="35">
        <f>IFERROR(INDEX(Produits!$E:$E,MATCH(B341,Produits!$A:$A,0)),0)</f>
        <v/>
      </c>
      <c r="H341" s="32">
        <f>ROUND(D341*E341*(1-F341),2)</f>
        <v/>
      </c>
      <c r="I341" s="32">
        <f>ROUND(H341*G341,2)</f>
        <v/>
      </c>
    </row>
    <row r="342">
      <c r="A342" s="30" t="inlineStr">
        <is>
          <t>FA-2026-0101</t>
        </is>
      </c>
      <c r="B342" s="30" t="inlineStr">
        <is>
          <t>TP-O</t>
        </is>
      </c>
      <c r="C342" s="30">
        <f>IFERROR(INDEX(Produits!$B:$B,MATCH(B342,Produits!$A:$A,0)),"Réf inconnue")</f>
        <v/>
      </c>
      <c r="D342" s="30" t="n">
        <v>10</v>
      </c>
      <c r="E342" s="32">
        <f>IFERROR(INDEX(Produits!$D:$D,MATCH(B342,Produits!$A:$A,0)),0)</f>
        <v/>
      </c>
      <c r="F342" s="34" t="n">
        <v>0</v>
      </c>
      <c r="G342" s="35">
        <f>IFERROR(INDEX(Produits!$E:$E,MATCH(B342,Produits!$A:$A,0)),0)</f>
        <v/>
      </c>
      <c r="H342" s="32">
        <f>ROUND(D342*E342*(1-F342),2)</f>
        <v/>
      </c>
      <c r="I342" s="32">
        <f>ROUND(H342*G342,2)</f>
        <v/>
      </c>
    </row>
    <row r="343">
      <c r="A343" s="30" t="inlineStr">
        <is>
          <t>FA-2026-0102</t>
        </is>
      </c>
      <c r="B343" s="30" t="inlineStr">
        <is>
          <t>CF-P</t>
        </is>
      </c>
      <c r="C343" s="30">
        <f>IFERROR(INDEX(Produits!$B:$B,MATCH(B343,Produits!$A:$A,0)),"Réf inconnue")</f>
        <v/>
      </c>
      <c r="D343" s="30" t="n">
        <v>6</v>
      </c>
      <c r="E343" s="32">
        <f>IFERROR(INDEX(Produits!$D:$D,MATCH(B343,Produits!$A:$A,0)),0)</f>
        <v/>
      </c>
      <c r="F343" s="34" t="n">
        <v>0.03</v>
      </c>
      <c r="G343" s="35">
        <f>IFERROR(INDEX(Produits!$E:$E,MATCH(B343,Produits!$A:$A,0)),0)</f>
        <v/>
      </c>
      <c r="H343" s="32">
        <f>ROUND(D343*E343*(1-F343),2)</f>
        <v/>
      </c>
      <c r="I343" s="32">
        <f>ROUND(H343*G343,2)</f>
        <v/>
      </c>
    </row>
    <row r="344">
      <c r="A344" s="30" t="inlineStr">
        <is>
          <t>FA-2026-0102</t>
        </is>
      </c>
      <c r="B344" s="30" t="inlineStr">
        <is>
          <t>HO-T3</t>
        </is>
      </c>
      <c r="C344" s="30">
        <f>IFERROR(INDEX(Produits!$B:$B,MATCH(B344,Produits!$A:$A,0)),"Réf inconnue")</f>
        <v/>
      </c>
      <c r="D344" s="30" t="n">
        <v>17</v>
      </c>
      <c r="E344" s="32">
        <f>IFERROR(INDEX(Produits!$D:$D,MATCH(B344,Produits!$A:$A,0)),0)</f>
        <v/>
      </c>
      <c r="F344" s="34" t="n">
        <v>0.05</v>
      </c>
      <c r="G344" s="35">
        <f>IFERROR(INDEX(Produits!$E:$E,MATCH(B344,Produits!$A:$A,0)),0)</f>
        <v/>
      </c>
      <c r="H344" s="32">
        <f>ROUND(D344*E344*(1-F344),2)</f>
        <v/>
      </c>
      <c r="I344" s="32">
        <f>ROUND(H344*G344,2)</f>
        <v/>
      </c>
    </row>
    <row r="345">
      <c r="A345" s="30" t="inlineStr">
        <is>
          <t>FA-2026-0102</t>
        </is>
      </c>
      <c r="B345" s="30" t="inlineStr">
        <is>
          <t>TP-O</t>
        </is>
      </c>
      <c r="C345" s="30">
        <f>IFERROR(INDEX(Produits!$B:$B,MATCH(B345,Produits!$A:$A,0)),"Réf inconnue")</f>
        <v/>
      </c>
      <c r="D345" s="30" t="n">
        <v>35</v>
      </c>
      <c r="E345" s="32">
        <f>IFERROR(INDEX(Produits!$D:$D,MATCH(B345,Produits!$A:$A,0)),0)</f>
        <v/>
      </c>
      <c r="F345" s="34" t="n">
        <v>0</v>
      </c>
      <c r="G345" s="35">
        <f>IFERROR(INDEX(Produits!$E:$E,MATCH(B345,Produits!$A:$A,0)),0)</f>
        <v/>
      </c>
      <c r="H345" s="32">
        <f>ROUND(D345*E345*(1-F345),2)</f>
        <v/>
      </c>
      <c r="I345" s="32">
        <f>ROUND(H345*G345,2)</f>
        <v/>
      </c>
    </row>
    <row r="346">
      <c r="A346" s="30" t="inlineStr">
        <is>
          <t>FA-2026-0102</t>
        </is>
      </c>
      <c r="B346" s="30" t="inlineStr">
        <is>
          <t>CF-D</t>
        </is>
      </c>
      <c r="C346" s="30">
        <f>IFERROR(INDEX(Produits!$B:$B,MATCH(B346,Produits!$A:$A,0)),"Réf inconnue")</f>
        <v/>
      </c>
      <c r="D346" s="30" t="n">
        <v>8</v>
      </c>
      <c r="E346" s="32">
        <f>IFERROR(INDEX(Produits!$D:$D,MATCH(B346,Produits!$A:$A,0)),0)</f>
        <v/>
      </c>
      <c r="F346" s="34" t="n">
        <v>0</v>
      </c>
      <c r="G346" s="35">
        <f>IFERROR(INDEX(Produits!$E:$E,MATCH(B346,Produits!$A:$A,0)),0)</f>
        <v/>
      </c>
      <c r="H346" s="32">
        <f>ROUND(D346*E346*(1-F346),2)</f>
        <v/>
      </c>
      <c r="I346" s="32">
        <f>ROUND(H346*G346,2)</f>
        <v/>
      </c>
    </row>
    <row r="347">
      <c r="A347" s="30" t="inlineStr">
        <is>
          <t>FA-2026-0103</t>
        </is>
      </c>
      <c r="B347" s="30" t="inlineStr">
        <is>
          <t>HO-1</t>
        </is>
      </c>
      <c r="C347" s="30">
        <f>IFERROR(INDEX(Produits!$B:$B,MATCH(B347,Produits!$A:$A,0)),"Réf inconnue")</f>
        <v/>
      </c>
      <c r="D347" s="30" t="n">
        <v>44</v>
      </c>
      <c r="E347" s="32">
        <f>IFERROR(INDEX(Produits!$D:$D,MATCH(B347,Produits!$A:$A,0)),0)</f>
        <v/>
      </c>
      <c r="F347" s="34" t="n">
        <v>0</v>
      </c>
      <c r="G347" s="35">
        <f>IFERROR(INDEX(Produits!$E:$E,MATCH(B347,Produits!$A:$A,0)),0)</f>
        <v/>
      </c>
      <c r="H347" s="32">
        <f>ROUND(D347*E347*(1-F347),2)</f>
        <v/>
      </c>
      <c r="I347" s="32">
        <f>ROUND(H347*G347,2)</f>
        <v/>
      </c>
    </row>
    <row r="348">
      <c r="A348" s="30" t="inlineStr">
        <is>
          <t>FA-2026-0103</t>
        </is>
      </c>
      <c r="B348" s="30" t="inlineStr">
        <is>
          <t>HO-T3</t>
        </is>
      </c>
      <c r="C348" s="30">
        <f>IFERROR(INDEX(Produits!$B:$B,MATCH(B348,Produits!$A:$A,0)),"Réf inconnue")</f>
        <v/>
      </c>
      <c r="D348" s="30" t="n">
        <v>42</v>
      </c>
      <c r="E348" s="32">
        <f>IFERROR(INDEX(Produits!$D:$D,MATCH(B348,Produits!$A:$A,0)),0)</f>
        <v/>
      </c>
      <c r="F348" s="34" t="n">
        <v>0</v>
      </c>
      <c r="G348" s="35">
        <f>IFERROR(INDEX(Produits!$E:$E,MATCH(B348,Produits!$A:$A,0)),0)</f>
        <v/>
      </c>
      <c r="H348" s="32">
        <f>ROUND(D348*E348*(1-F348),2)</f>
        <v/>
      </c>
      <c r="I348" s="32">
        <f>ROUND(H348*G348,2)</f>
        <v/>
      </c>
    </row>
    <row r="349">
      <c r="A349" s="30" t="inlineStr">
        <is>
          <t>FA-2026-0104</t>
        </is>
      </c>
      <c r="B349" s="30" t="inlineStr">
        <is>
          <t>TP-O</t>
        </is>
      </c>
      <c r="C349" s="30">
        <f>IFERROR(INDEX(Produits!$B:$B,MATCH(B349,Produits!$A:$A,0)),"Réf inconnue")</f>
        <v/>
      </c>
      <c r="D349" s="30" t="n">
        <v>6</v>
      </c>
      <c r="E349" s="32">
        <f>IFERROR(INDEX(Produits!$D:$D,MATCH(B349,Produits!$A:$A,0)),0)</f>
        <v/>
      </c>
      <c r="F349" s="34" t="n">
        <v>0</v>
      </c>
      <c r="G349" s="35">
        <f>IFERROR(INDEX(Produits!$E:$E,MATCH(B349,Produits!$A:$A,0)),0)</f>
        <v/>
      </c>
      <c r="H349" s="32">
        <f>ROUND(D349*E349*(1-F349),2)</f>
        <v/>
      </c>
      <c r="I349" s="32">
        <f>ROUND(H349*G349,2)</f>
        <v/>
      </c>
    </row>
    <row r="350">
      <c r="A350" s="30" t="inlineStr">
        <is>
          <t>FA-2026-0104</t>
        </is>
      </c>
      <c r="B350" s="30" t="inlineStr">
        <is>
          <t>HO-1</t>
        </is>
      </c>
      <c r="C350" s="30">
        <f>IFERROR(INDEX(Produits!$B:$B,MATCH(B350,Produits!$A:$A,0)),"Réf inconnue")</f>
        <v/>
      </c>
      <c r="D350" s="30" t="n">
        <v>12</v>
      </c>
      <c r="E350" s="32">
        <f>IFERROR(INDEX(Produits!$D:$D,MATCH(B350,Produits!$A:$A,0)),0)</f>
        <v/>
      </c>
      <c r="F350" s="34" t="n">
        <v>0</v>
      </c>
      <c r="G350" s="35">
        <f>IFERROR(INDEX(Produits!$E:$E,MATCH(B350,Produits!$A:$A,0)),0)</f>
        <v/>
      </c>
      <c r="H350" s="32">
        <f>ROUND(D350*E350*(1-F350),2)</f>
        <v/>
      </c>
      <c r="I350" s="32">
        <f>ROUND(H350*G350,2)</f>
        <v/>
      </c>
    </row>
    <row r="351">
      <c r="A351" s="30" t="inlineStr">
        <is>
          <t>FA-2026-0104</t>
        </is>
      </c>
      <c r="B351" s="30" t="inlineStr">
        <is>
          <t>HO-5</t>
        </is>
      </c>
      <c r="C351" s="30">
        <f>IFERROR(INDEX(Produits!$B:$B,MATCH(B351,Produits!$A:$A,0)),"Réf inconnue")</f>
        <v/>
      </c>
      <c r="D351" s="30" t="n">
        <v>15</v>
      </c>
      <c r="E351" s="32">
        <f>IFERROR(INDEX(Produits!$D:$D,MATCH(B351,Produits!$A:$A,0)),0)</f>
        <v/>
      </c>
      <c r="F351" s="34" t="n">
        <v>0</v>
      </c>
      <c r="G351" s="35">
        <f>IFERROR(INDEX(Produits!$E:$E,MATCH(B351,Produits!$A:$A,0)),0)</f>
        <v/>
      </c>
      <c r="H351" s="32">
        <f>ROUND(D351*E351*(1-F351),2)</f>
        <v/>
      </c>
      <c r="I351" s="32">
        <f>ROUND(H351*G351,2)</f>
        <v/>
      </c>
    </row>
    <row r="352">
      <c r="A352" s="30" t="inlineStr">
        <is>
          <t>FA-2026-0104</t>
        </is>
      </c>
      <c r="B352" s="30" t="inlineStr">
        <is>
          <t>HO-05</t>
        </is>
      </c>
      <c r="C352" s="30">
        <f>IFERROR(INDEX(Produits!$B:$B,MATCH(B352,Produits!$A:$A,0)),"Réf inconnue")</f>
        <v/>
      </c>
      <c r="D352" s="30" t="n">
        <v>6</v>
      </c>
      <c r="E352" s="32">
        <f>IFERROR(INDEX(Produits!$D:$D,MATCH(B352,Produits!$A:$A,0)),0)</f>
        <v/>
      </c>
      <c r="F352" s="34" t="n">
        <v>0</v>
      </c>
      <c r="G352" s="35">
        <f>IFERROR(INDEX(Produits!$E:$E,MATCH(B352,Produits!$A:$A,0)),0)</f>
        <v/>
      </c>
      <c r="H352" s="32">
        <f>ROUND(D352*E352*(1-F352),2)</f>
        <v/>
      </c>
      <c r="I352" s="32">
        <f>ROUND(H352*G352,2)</f>
        <v/>
      </c>
    </row>
    <row r="353">
      <c r="A353" s="30" t="inlineStr">
        <is>
          <t>FA-2026-0104</t>
        </is>
      </c>
      <c r="B353" s="30" t="inlineStr">
        <is>
          <t>CF-D</t>
        </is>
      </c>
      <c r="C353" s="30">
        <f>IFERROR(INDEX(Produits!$B:$B,MATCH(B353,Produits!$A:$A,0)),"Réf inconnue")</f>
        <v/>
      </c>
      <c r="D353" s="30" t="n">
        <v>1</v>
      </c>
      <c r="E353" s="32">
        <f>IFERROR(INDEX(Produits!$D:$D,MATCH(B353,Produits!$A:$A,0)),0)</f>
        <v/>
      </c>
      <c r="F353" s="34" t="n">
        <v>0</v>
      </c>
      <c r="G353" s="35">
        <f>IFERROR(INDEX(Produits!$E:$E,MATCH(B353,Produits!$A:$A,0)),0)</f>
        <v/>
      </c>
      <c r="H353" s="32">
        <f>ROUND(D353*E353*(1-F353),2)</f>
        <v/>
      </c>
      <c r="I353" s="32">
        <f>ROUND(H353*G353,2)</f>
        <v/>
      </c>
    </row>
    <row r="354">
      <c r="A354" s="30" t="inlineStr">
        <is>
          <t>FA-2026-0105</t>
        </is>
      </c>
      <c r="B354" s="30" t="inlineStr">
        <is>
          <t>OL-N</t>
        </is>
      </c>
      <c r="C354" s="30">
        <f>IFERROR(INDEX(Produits!$B:$B,MATCH(B354,Produits!$A:$A,0)),"Réf inconnue")</f>
        <v/>
      </c>
      <c r="D354" s="30" t="n">
        <v>51</v>
      </c>
      <c r="E354" s="32">
        <f>IFERROR(INDEX(Produits!$D:$D,MATCH(B354,Produits!$A:$A,0)),0)</f>
        <v/>
      </c>
      <c r="F354" s="34" t="n">
        <v>0</v>
      </c>
      <c r="G354" s="35">
        <f>IFERROR(INDEX(Produits!$E:$E,MATCH(B354,Produits!$A:$A,0)),0)</f>
        <v/>
      </c>
      <c r="H354" s="32">
        <f>ROUND(D354*E354*(1-F354),2)</f>
        <v/>
      </c>
      <c r="I354" s="32">
        <f>ROUND(H354*G354,2)</f>
        <v/>
      </c>
    </row>
    <row r="355">
      <c r="A355" s="30" t="inlineStr">
        <is>
          <t>FA-2026-0105</t>
        </is>
      </c>
      <c r="B355" s="30" t="inlineStr">
        <is>
          <t>OL-V</t>
        </is>
      </c>
      <c r="C355" s="30">
        <f>IFERROR(INDEX(Produits!$B:$B,MATCH(B355,Produits!$A:$A,0)),"Réf inconnue")</f>
        <v/>
      </c>
      <c r="D355" s="30" t="n">
        <v>37</v>
      </c>
      <c r="E355" s="32">
        <f>IFERROR(INDEX(Produits!$D:$D,MATCH(B355,Produits!$A:$A,0)),0)</f>
        <v/>
      </c>
      <c r="F355" s="34" t="n">
        <v>0.05</v>
      </c>
      <c r="G355" s="35">
        <f>IFERROR(INDEX(Produits!$E:$E,MATCH(B355,Produits!$A:$A,0)),0)</f>
        <v/>
      </c>
      <c r="H355" s="32">
        <f>ROUND(D355*E355*(1-F355),2)</f>
        <v/>
      </c>
      <c r="I355" s="32">
        <f>ROUND(H355*G355,2)</f>
        <v/>
      </c>
    </row>
    <row r="356">
      <c r="A356" s="30" t="inlineStr">
        <is>
          <t>FA-2026-0105</t>
        </is>
      </c>
      <c r="B356" s="30" t="inlineStr">
        <is>
          <t>CF-P</t>
        </is>
      </c>
      <c r="C356" s="30">
        <f>IFERROR(INDEX(Produits!$B:$B,MATCH(B356,Produits!$A:$A,0)),"Réf inconnue")</f>
        <v/>
      </c>
      <c r="D356" s="30" t="n">
        <v>5</v>
      </c>
      <c r="E356" s="32">
        <f>IFERROR(INDEX(Produits!$D:$D,MATCH(B356,Produits!$A:$A,0)),0)</f>
        <v/>
      </c>
      <c r="F356" s="34" t="n">
        <v>0.05</v>
      </c>
      <c r="G356" s="35">
        <f>IFERROR(INDEX(Produits!$E:$E,MATCH(B356,Produits!$A:$A,0)),0)</f>
        <v/>
      </c>
      <c r="H356" s="32">
        <f>ROUND(D356*E356*(1-F356),2)</f>
        <v/>
      </c>
      <c r="I356" s="32">
        <f>ROUND(H356*G356,2)</f>
        <v/>
      </c>
    </row>
    <row r="357">
      <c r="A357" s="30" t="inlineStr">
        <is>
          <t>FA-2026-0105</t>
        </is>
      </c>
      <c r="B357" s="30" t="inlineStr">
        <is>
          <t>HO-5</t>
        </is>
      </c>
      <c r="C357" s="30">
        <f>IFERROR(INDEX(Produits!$B:$B,MATCH(B357,Produits!$A:$A,0)),"Réf inconnue")</f>
        <v/>
      </c>
      <c r="D357" s="30" t="n">
        <v>38</v>
      </c>
      <c r="E357" s="32">
        <f>IFERROR(INDEX(Produits!$D:$D,MATCH(B357,Produits!$A:$A,0)),0)</f>
        <v/>
      </c>
      <c r="F357" s="34" t="n">
        <v>0.05</v>
      </c>
      <c r="G357" s="35">
        <f>IFERROR(INDEX(Produits!$E:$E,MATCH(B357,Produits!$A:$A,0)),0)</f>
        <v/>
      </c>
      <c r="H357" s="32">
        <f>ROUND(D357*E357*(1-F357),2)</f>
        <v/>
      </c>
      <c r="I357" s="32">
        <f>ROUND(H357*G357,2)</f>
        <v/>
      </c>
    </row>
    <row r="358">
      <c r="A358" s="30" t="inlineStr">
        <is>
          <t>FA-2026-0106</t>
        </is>
      </c>
      <c r="B358" s="30" t="inlineStr">
        <is>
          <t>HO-05</t>
        </is>
      </c>
      <c r="C358" s="30">
        <f>IFERROR(INDEX(Produits!$B:$B,MATCH(B358,Produits!$A:$A,0)),"Réf inconnue")</f>
        <v/>
      </c>
      <c r="D358" s="30" t="n">
        <v>18</v>
      </c>
      <c r="E358" s="32">
        <f>IFERROR(INDEX(Produits!$D:$D,MATCH(B358,Produits!$A:$A,0)),0)</f>
        <v/>
      </c>
      <c r="F358" s="34" t="n">
        <v>0</v>
      </c>
      <c r="G358" s="35">
        <f>IFERROR(INDEX(Produits!$E:$E,MATCH(B358,Produits!$A:$A,0)),0)</f>
        <v/>
      </c>
      <c r="H358" s="32">
        <f>ROUND(D358*E358*(1-F358),2)</f>
        <v/>
      </c>
      <c r="I358" s="32">
        <f>ROUND(H358*G358,2)</f>
        <v/>
      </c>
    </row>
    <row r="359">
      <c r="A359" s="30" t="inlineStr">
        <is>
          <t>FA-2026-0106</t>
        </is>
      </c>
      <c r="B359" s="30" t="inlineStr">
        <is>
          <t>CF-D</t>
        </is>
      </c>
      <c r="C359" s="30">
        <f>IFERROR(INDEX(Produits!$B:$B,MATCH(B359,Produits!$A:$A,0)),"Réf inconnue")</f>
        <v/>
      </c>
      <c r="D359" s="30" t="n">
        <v>4</v>
      </c>
      <c r="E359" s="32">
        <f>IFERROR(INDEX(Produits!$D:$D,MATCH(B359,Produits!$A:$A,0)),0)</f>
        <v/>
      </c>
      <c r="F359" s="34" t="n">
        <v>0</v>
      </c>
      <c r="G359" s="35">
        <f>IFERROR(INDEX(Produits!$E:$E,MATCH(B359,Produits!$A:$A,0)),0)</f>
        <v/>
      </c>
      <c r="H359" s="32">
        <f>ROUND(D359*E359*(1-F359),2)</f>
        <v/>
      </c>
      <c r="I359" s="32">
        <f>ROUND(H359*G359,2)</f>
        <v/>
      </c>
    </row>
    <row r="360">
      <c r="A360" s="30" t="inlineStr">
        <is>
          <t>FA-2026-0106</t>
        </is>
      </c>
      <c r="B360" s="30" t="inlineStr">
        <is>
          <t>TP-O</t>
        </is>
      </c>
      <c r="C360" s="30">
        <f>IFERROR(INDEX(Produits!$B:$B,MATCH(B360,Produits!$A:$A,0)),"Réf inconnue")</f>
        <v/>
      </c>
      <c r="D360" s="30" t="n">
        <v>8</v>
      </c>
      <c r="E360" s="32">
        <f>IFERROR(INDEX(Produits!$D:$D,MATCH(B360,Produits!$A:$A,0)),0)</f>
        <v/>
      </c>
      <c r="F360" s="34" t="n">
        <v>0</v>
      </c>
      <c r="G360" s="35">
        <f>IFERROR(INDEX(Produits!$E:$E,MATCH(B360,Produits!$A:$A,0)),0)</f>
        <v/>
      </c>
      <c r="H360" s="32">
        <f>ROUND(D360*E360*(1-F360),2)</f>
        <v/>
      </c>
      <c r="I360" s="32">
        <f>ROUND(H360*G360,2)</f>
        <v/>
      </c>
    </row>
    <row r="361">
      <c r="A361" s="30" t="inlineStr">
        <is>
          <t>FA-2026-0107</t>
        </is>
      </c>
      <c r="B361" s="30" t="inlineStr">
        <is>
          <t>HO-T3</t>
        </is>
      </c>
      <c r="C361" s="30">
        <f>IFERROR(INDEX(Produits!$B:$B,MATCH(B361,Produits!$A:$A,0)),"Réf inconnue")</f>
        <v/>
      </c>
      <c r="D361" s="30" t="n">
        <v>24</v>
      </c>
      <c r="E361" s="32">
        <f>IFERROR(INDEX(Produits!$D:$D,MATCH(B361,Produits!$A:$A,0)),0)</f>
        <v/>
      </c>
      <c r="F361" s="34" t="n">
        <v>0</v>
      </c>
      <c r="G361" s="35">
        <f>IFERROR(INDEX(Produits!$E:$E,MATCH(B361,Produits!$A:$A,0)),0)</f>
        <v/>
      </c>
      <c r="H361" s="32">
        <f>ROUND(D361*E361*(1-F361),2)</f>
        <v/>
      </c>
      <c r="I361" s="32">
        <f>ROUND(H361*G361,2)</f>
        <v/>
      </c>
    </row>
    <row r="362">
      <c r="A362" s="30" t="inlineStr">
        <is>
          <t>FA-2026-0107</t>
        </is>
      </c>
      <c r="B362" s="30" t="inlineStr">
        <is>
          <t>CF-P</t>
        </is>
      </c>
      <c r="C362" s="30">
        <f>IFERROR(INDEX(Produits!$B:$B,MATCH(B362,Produits!$A:$A,0)),"Réf inconnue")</f>
        <v/>
      </c>
      <c r="D362" s="30" t="n">
        <v>1</v>
      </c>
      <c r="E362" s="32">
        <f>IFERROR(INDEX(Produits!$D:$D,MATCH(B362,Produits!$A:$A,0)),0)</f>
        <v/>
      </c>
      <c r="F362" s="34" t="n">
        <v>0</v>
      </c>
      <c r="G362" s="35">
        <f>IFERROR(INDEX(Produits!$E:$E,MATCH(B362,Produits!$A:$A,0)),0)</f>
        <v/>
      </c>
      <c r="H362" s="32">
        <f>ROUND(D362*E362*(1-F362),2)</f>
        <v/>
      </c>
      <c r="I362" s="32">
        <f>ROUND(H362*G362,2)</f>
        <v/>
      </c>
    </row>
    <row r="363">
      <c r="A363" s="30" t="inlineStr">
        <is>
          <t>FA-2026-0107</t>
        </is>
      </c>
      <c r="B363" s="30" t="inlineStr">
        <is>
          <t>OL-V</t>
        </is>
      </c>
      <c r="C363" s="30">
        <f>IFERROR(INDEX(Produits!$B:$B,MATCH(B363,Produits!$A:$A,0)),"Réf inconnue")</f>
        <v/>
      </c>
      <c r="D363" s="30" t="n">
        <v>15</v>
      </c>
      <c r="E363" s="32">
        <f>IFERROR(INDEX(Produits!$D:$D,MATCH(B363,Produits!$A:$A,0)),0)</f>
        <v/>
      </c>
      <c r="F363" s="34" t="n">
        <v>0</v>
      </c>
      <c r="G363" s="35">
        <f>IFERROR(INDEX(Produits!$E:$E,MATCH(B363,Produits!$A:$A,0)),0)</f>
        <v/>
      </c>
      <c r="H363" s="32">
        <f>ROUND(D363*E363*(1-F363),2)</f>
        <v/>
      </c>
      <c r="I363" s="32">
        <f>ROUND(H363*G363,2)</f>
        <v/>
      </c>
    </row>
    <row r="364">
      <c r="A364" s="30" t="inlineStr">
        <is>
          <t>FA-2026-0107</t>
        </is>
      </c>
      <c r="B364" s="30" t="inlineStr">
        <is>
          <t>OL-N</t>
        </is>
      </c>
      <c r="C364" s="30">
        <f>IFERROR(INDEX(Produits!$B:$B,MATCH(B364,Produits!$A:$A,0)),"Réf inconnue")</f>
        <v/>
      </c>
      <c r="D364" s="30" t="n">
        <v>31</v>
      </c>
      <c r="E364" s="32">
        <f>IFERROR(INDEX(Produits!$D:$D,MATCH(B364,Produits!$A:$A,0)),0)</f>
        <v/>
      </c>
      <c r="F364" s="34" t="n">
        <v>0</v>
      </c>
      <c r="G364" s="35">
        <f>IFERROR(INDEX(Produits!$E:$E,MATCH(B364,Produits!$A:$A,0)),0)</f>
        <v/>
      </c>
      <c r="H364" s="32">
        <f>ROUND(D364*E364*(1-F364),2)</f>
        <v/>
      </c>
      <c r="I364" s="32">
        <f>ROUND(H364*G364,2)</f>
        <v/>
      </c>
    </row>
    <row r="365">
      <c r="A365" s="30" t="inlineStr">
        <is>
          <t>FA-2026-0107</t>
        </is>
      </c>
      <c r="B365" s="30" t="inlineStr">
        <is>
          <t>SV-O</t>
        </is>
      </c>
      <c r="C365" s="30">
        <f>IFERROR(INDEX(Produits!$B:$B,MATCH(B365,Produits!$A:$A,0)),"Réf inconnue")</f>
        <v/>
      </c>
      <c r="D365" s="30" t="n">
        <v>15</v>
      </c>
      <c r="E365" s="32">
        <f>IFERROR(INDEX(Produits!$D:$D,MATCH(B365,Produits!$A:$A,0)),0)</f>
        <v/>
      </c>
      <c r="F365" s="34" t="n">
        <v>0</v>
      </c>
      <c r="G365" s="35">
        <f>IFERROR(INDEX(Produits!$E:$E,MATCH(B365,Produits!$A:$A,0)),0)</f>
        <v/>
      </c>
      <c r="H365" s="32">
        <f>ROUND(D365*E365*(1-F365),2)</f>
        <v/>
      </c>
      <c r="I365" s="32">
        <f>ROUND(H365*G365,2)</f>
        <v/>
      </c>
    </row>
    <row r="366">
      <c r="A366" s="30" t="inlineStr">
        <is>
          <t>FA-2026-0108</t>
        </is>
      </c>
      <c r="B366" s="30" t="inlineStr">
        <is>
          <t>CF-D</t>
        </is>
      </c>
      <c r="C366" s="30">
        <f>IFERROR(INDEX(Produits!$B:$B,MATCH(B366,Produits!$A:$A,0)),"Réf inconnue")</f>
        <v/>
      </c>
      <c r="D366" s="30" t="n">
        <v>1</v>
      </c>
      <c r="E366" s="32">
        <f>IFERROR(INDEX(Produits!$D:$D,MATCH(B366,Produits!$A:$A,0)),0)</f>
        <v/>
      </c>
      <c r="F366" s="34" t="n">
        <v>0</v>
      </c>
      <c r="G366" s="35">
        <f>IFERROR(INDEX(Produits!$E:$E,MATCH(B366,Produits!$A:$A,0)),0)</f>
        <v/>
      </c>
      <c r="H366" s="32">
        <f>ROUND(D366*E366*(1-F366),2)</f>
        <v/>
      </c>
      <c r="I366" s="32">
        <f>ROUND(H366*G366,2)</f>
        <v/>
      </c>
    </row>
    <row r="367">
      <c r="A367" s="30" t="inlineStr">
        <is>
          <t>FA-2026-0108</t>
        </is>
      </c>
      <c r="B367" s="30" t="inlineStr">
        <is>
          <t>TP-O</t>
        </is>
      </c>
      <c r="C367" s="30">
        <f>IFERROR(INDEX(Produits!$B:$B,MATCH(B367,Produits!$A:$A,0)),"Réf inconnue")</f>
        <v/>
      </c>
      <c r="D367" s="30" t="n">
        <v>14</v>
      </c>
      <c r="E367" s="32">
        <f>IFERROR(INDEX(Produits!$D:$D,MATCH(B367,Produits!$A:$A,0)),0)</f>
        <v/>
      </c>
      <c r="F367" s="34" t="n">
        <v>0</v>
      </c>
      <c r="G367" s="35">
        <f>IFERROR(INDEX(Produits!$E:$E,MATCH(B367,Produits!$A:$A,0)),0)</f>
        <v/>
      </c>
      <c r="H367" s="32">
        <f>ROUND(D367*E367*(1-F367),2)</f>
        <v/>
      </c>
      <c r="I367" s="32">
        <f>ROUND(H367*G367,2)</f>
        <v/>
      </c>
    </row>
    <row r="368">
      <c r="A368" s="30" t="inlineStr">
        <is>
          <t>FA-2026-0108</t>
        </is>
      </c>
      <c r="B368" s="30" t="inlineStr">
        <is>
          <t>OL-N</t>
        </is>
      </c>
      <c r="C368" s="30">
        <f>IFERROR(INDEX(Produits!$B:$B,MATCH(B368,Produits!$A:$A,0)),"Réf inconnue")</f>
        <v/>
      </c>
      <c r="D368" s="30" t="n">
        <v>5</v>
      </c>
      <c r="E368" s="32">
        <f>IFERROR(INDEX(Produits!$D:$D,MATCH(B368,Produits!$A:$A,0)),0)</f>
        <v/>
      </c>
      <c r="F368" s="34" t="n">
        <v>0</v>
      </c>
      <c r="G368" s="35">
        <f>IFERROR(INDEX(Produits!$E:$E,MATCH(B368,Produits!$A:$A,0)),0)</f>
        <v/>
      </c>
      <c r="H368" s="32">
        <f>ROUND(D368*E368*(1-F368),2)</f>
        <v/>
      </c>
      <c r="I368" s="32">
        <f>ROUND(H368*G368,2)</f>
        <v/>
      </c>
    </row>
    <row r="369">
      <c r="A369" s="30" t="inlineStr">
        <is>
          <t>FA-2026-0108</t>
        </is>
      </c>
      <c r="B369" s="30" t="inlineStr">
        <is>
          <t>CF-P</t>
        </is>
      </c>
      <c r="C369" s="30">
        <f>IFERROR(INDEX(Produits!$B:$B,MATCH(B369,Produits!$A:$A,0)),"Réf inconnue")</f>
        <v/>
      </c>
      <c r="D369" s="30" t="n">
        <v>1</v>
      </c>
      <c r="E369" s="32">
        <f>IFERROR(INDEX(Produits!$D:$D,MATCH(B369,Produits!$A:$A,0)),0)</f>
        <v/>
      </c>
      <c r="F369" s="34" t="n">
        <v>0</v>
      </c>
      <c r="G369" s="35">
        <f>IFERROR(INDEX(Produits!$E:$E,MATCH(B369,Produits!$A:$A,0)),0)</f>
        <v/>
      </c>
      <c r="H369" s="32">
        <f>ROUND(D369*E369*(1-F369),2)</f>
        <v/>
      </c>
      <c r="I369" s="32">
        <f>ROUND(H369*G369,2)</f>
        <v/>
      </c>
    </row>
    <row r="370">
      <c r="A370" s="30" t="inlineStr">
        <is>
          <t>FA-2026-0109</t>
        </is>
      </c>
      <c r="B370" s="30" t="inlineStr">
        <is>
          <t>CF-D</t>
        </is>
      </c>
      <c r="C370" s="30">
        <f>IFERROR(INDEX(Produits!$B:$B,MATCH(B370,Produits!$A:$A,0)),"Réf inconnue")</f>
        <v/>
      </c>
      <c r="D370" s="30" t="n">
        <v>5</v>
      </c>
      <c r="E370" s="32">
        <f>IFERROR(INDEX(Produits!$D:$D,MATCH(B370,Produits!$A:$A,0)),0)</f>
        <v/>
      </c>
      <c r="F370" s="34" t="n">
        <v>0.03</v>
      </c>
      <c r="G370" s="35">
        <f>IFERROR(INDEX(Produits!$E:$E,MATCH(B370,Produits!$A:$A,0)),0)</f>
        <v/>
      </c>
      <c r="H370" s="32">
        <f>ROUND(D370*E370*(1-F370),2)</f>
        <v/>
      </c>
      <c r="I370" s="32">
        <f>ROUND(H370*G370,2)</f>
        <v/>
      </c>
    </row>
    <row r="371">
      <c r="A371" s="30" t="inlineStr">
        <is>
          <t>FA-2026-0109</t>
        </is>
      </c>
      <c r="B371" s="30" t="inlineStr">
        <is>
          <t>HO-T3</t>
        </is>
      </c>
      <c r="C371" s="30">
        <f>IFERROR(INDEX(Produits!$B:$B,MATCH(B371,Produits!$A:$A,0)),"Réf inconnue")</f>
        <v/>
      </c>
      <c r="D371" s="30" t="n">
        <v>40</v>
      </c>
      <c r="E371" s="32">
        <f>IFERROR(INDEX(Produits!$D:$D,MATCH(B371,Produits!$A:$A,0)),0)</f>
        <v/>
      </c>
      <c r="F371" s="34" t="n">
        <v>0</v>
      </c>
      <c r="G371" s="35">
        <f>IFERROR(INDEX(Produits!$E:$E,MATCH(B371,Produits!$A:$A,0)),0)</f>
        <v/>
      </c>
      <c r="H371" s="32">
        <f>ROUND(D371*E371*(1-F371),2)</f>
        <v/>
      </c>
      <c r="I371" s="32">
        <f>ROUND(H371*G371,2)</f>
        <v/>
      </c>
    </row>
    <row r="372">
      <c r="A372" s="30" t="inlineStr">
        <is>
          <t>FA-2026-0109</t>
        </is>
      </c>
      <c r="B372" s="30" t="inlineStr">
        <is>
          <t>OL-N</t>
        </is>
      </c>
      <c r="C372" s="30">
        <f>IFERROR(INDEX(Produits!$B:$B,MATCH(B372,Produits!$A:$A,0)),"Réf inconnue")</f>
        <v/>
      </c>
      <c r="D372" s="30" t="n">
        <v>30</v>
      </c>
      <c r="E372" s="32">
        <f>IFERROR(INDEX(Produits!$D:$D,MATCH(B372,Produits!$A:$A,0)),0)</f>
        <v/>
      </c>
      <c r="F372" s="34" t="n">
        <v>0</v>
      </c>
      <c r="G372" s="35">
        <f>IFERROR(INDEX(Produits!$E:$E,MATCH(B372,Produits!$A:$A,0)),0)</f>
        <v/>
      </c>
      <c r="H372" s="32">
        <f>ROUND(D372*E372*(1-F372),2)</f>
        <v/>
      </c>
      <c r="I372" s="32">
        <f>ROUND(H372*G372,2)</f>
        <v/>
      </c>
    </row>
    <row r="373">
      <c r="A373" s="30" t="inlineStr">
        <is>
          <t>FA-2026-0109</t>
        </is>
      </c>
      <c r="B373" s="30" t="inlineStr">
        <is>
          <t>HO-1</t>
        </is>
      </c>
      <c r="C373" s="30">
        <f>IFERROR(INDEX(Produits!$B:$B,MATCH(B373,Produits!$A:$A,0)),"Réf inconnue")</f>
        <v/>
      </c>
      <c r="D373" s="30" t="n">
        <v>13</v>
      </c>
      <c r="E373" s="32">
        <f>IFERROR(INDEX(Produits!$D:$D,MATCH(B373,Produits!$A:$A,0)),0)</f>
        <v/>
      </c>
      <c r="F373" s="34" t="n">
        <v>0.05</v>
      </c>
      <c r="G373" s="35">
        <f>IFERROR(INDEX(Produits!$E:$E,MATCH(B373,Produits!$A:$A,0)),0)</f>
        <v/>
      </c>
      <c r="H373" s="32">
        <f>ROUND(D373*E373*(1-F373),2)</f>
        <v/>
      </c>
      <c r="I373" s="32">
        <f>ROUND(H373*G373,2)</f>
        <v/>
      </c>
    </row>
    <row r="374">
      <c r="A374" s="30" t="inlineStr">
        <is>
          <t>FA-2026-0109</t>
        </is>
      </c>
      <c r="B374" s="30" t="inlineStr">
        <is>
          <t>TP-O</t>
        </is>
      </c>
      <c r="C374" s="30">
        <f>IFERROR(INDEX(Produits!$B:$B,MATCH(B374,Produits!$A:$A,0)),"Réf inconnue")</f>
        <v/>
      </c>
      <c r="D374" s="30" t="n">
        <v>16</v>
      </c>
      <c r="E374" s="32">
        <f>IFERROR(INDEX(Produits!$D:$D,MATCH(B374,Produits!$A:$A,0)),0)</f>
        <v/>
      </c>
      <c r="F374" s="34" t="n">
        <v>0</v>
      </c>
      <c r="G374" s="35">
        <f>IFERROR(INDEX(Produits!$E:$E,MATCH(B374,Produits!$A:$A,0)),0)</f>
        <v/>
      </c>
      <c r="H374" s="32">
        <f>ROUND(D374*E374*(1-F374),2)</f>
        <v/>
      </c>
      <c r="I374" s="32">
        <f>ROUND(H374*G374,2)</f>
        <v/>
      </c>
    </row>
    <row r="375">
      <c r="A375" s="30" t="inlineStr">
        <is>
          <t>FA-2026-0110</t>
        </is>
      </c>
      <c r="B375" s="30" t="inlineStr">
        <is>
          <t>CF-P</t>
        </is>
      </c>
      <c r="C375" s="30">
        <f>IFERROR(INDEX(Produits!$B:$B,MATCH(B375,Produits!$A:$A,0)),"Réf inconnue")</f>
        <v/>
      </c>
      <c r="D375" s="30" t="n">
        <v>3</v>
      </c>
      <c r="E375" s="32">
        <f>IFERROR(INDEX(Produits!$D:$D,MATCH(B375,Produits!$A:$A,0)),0)</f>
        <v/>
      </c>
      <c r="F375" s="34" t="n">
        <v>0</v>
      </c>
      <c r="G375" s="35">
        <f>IFERROR(INDEX(Produits!$E:$E,MATCH(B375,Produits!$A:$A,0)),0)</f>
        <v/>
      </c>
      <c r="H375" s="32">
        <f>ROUND(D375*E375*(1-F375),2)</f>
        <v/>
      </c>
      <c r="I375" s="32">
        <f>ROUND(H375*G375,2)</f>
        <v/>
      </c>
    </row>
    <row r="376">
      <c r="A376" s="30" t="inlineStr">
        <is>
          <t>FA-2026-0110</t>
        </is>
      </c>
      <c r="B376" s="30" t="inlineStr">
        <is>
          <t>OL-V</t>
        </is>
      </c>
      <c r="C376" s="30">
        <f>IFERROR(INDEX(Produits!$B:$B,MATCH(B376,Produits!$A:$A,0)),"Réf inconnue")</f>
        <v/>
      </c>
      <c r="D376" s="30" t="n">
        <v>10</v>
      </c>
      <c r="E376" s="32">
        <f>IFERROR(INDEX(Produits!$D:$D,MATCH(B376,Produits!$A:$A,0)),0)</f>
        <v/>
      </c>
      <c r="F376" s="34" t="n">
        <v>0</v>
      </c>
      <c r="G376" s="35">
        <f>IFERROR(INDEX(Produits!$E:$E,MATCH(B376,Produits!$A:$A,0)),0)</f>
        <v/>
      </c>
      <c r="H376" s="32">
        <f>ROUND(D376*E376*(1-F376),2)</f>
        <v/>
      </c>
      <c r="I376" s="32">
        <f>ROUND(H376*G376,2)</f>
        <v/>
      </c>
    </row>
    <row r="377">
      <c r="A377" s="30" t="inlineStr">
        <is>
          <t>FA-2026-0110</t>
        </is>
      </c>
      <c r="B377" s="30" t="inlineStr">
        <is>
          <t>TP-O</t>
        </is>
      </c>
      <c r="C377" s="30">
        <f>IFERROR(INDEX(Produits!$B:$B,MATCH(B377,Produits!$A:$A,0)),"Réf inconnue")</f>
        <v/>
      </c>
      <c r="D377" s="30" t="n">
        <v>14</v>
      </c>
      <c r="E377" s="32">
        <f>IFERROR(INDEX(Produits!$D:$D,MATCH(B377,Produits!$A:$A,0)),0)</f>
        <v/>
      </c>
      <c r="F377" s="34" t="n">
        <v>0</v>
      </c>
      <c r="G377" s="35">
        <f>IFERROR(INDEX(Produits!$E:$E,MATCH(B377,Produits!$A:$A,0)),0)</f>
        <v/>
      </c>
      <c r="H377" s="32">
        <f>ROUND(D377*E377*(1-F377),2)</f>
        <v/>
      </c>
      <c r="I377" s="32">
        <f>ROUND(H377*G377,2)</f>
        <v/>
      </c>
    </row>
    <row r="378">
      <c r="A378" s="30" t="inlineStr">
        <is>
          <t>FA-2026-0110</t>
        </is>
      </c>
      <c r="B378" s="30" t="inlineStr">
        <is>
          <t>HO-1</t>
        </is>
      </c>
      <c r="C378" s="30">
        <f>IFERROR(INDEX(Produits!$B:$B,MATCH(B378,Produits!$A:$A,0)),"Réf inconnue")</f>
        <v/>
      </c>
      <c r="D378" s="30" t="n">
        <v>10</v>
      </c>
      <c r="E378" s="32">
        <f>IFERROR(INDEX(Produits!$D:$D,MATCH(B378,Produits!$A:$A,0)),0)</f>
        <v/>
      </c>
      <c r="F378" s="34" t="n">
        <v>0</v>
      </c>
      <c r="G378" s="35">
        <f>IFERROR(INDEX(Produits!$E:$E,MATCH(B378,Produits!$A:$A,0)),0)</f>
        <v/>
      </c>
      <c r="H378" s="32">
        <f>ROUND(D378*E378*(1-F378),2)</f>
        <v/>
      </c>
      <c r="I378" s="32">
        <f>ROUND(H378*G378,2)</f>
        <v/>
      </c>
    </row>
    <row r="379">
      <c r="A379" s="30" t="inlineStr">
        <is>
          <t>FA-2026-0111</t>
        </is>
      </c>
      <c r="B379" s="30" t="inlineStr">
        <is>
          <t>HO-T3</t>
        </is>
      </c>
      <c r="C379" s="30">
        <f>IFERROR(INDEX(Produits!$B:$B,MATCH(B379,Produits!$A:$A,0)),"Réf inconnue")</f>
        <v/>
      </c>
      <c r="D379" s="30" t="n">
        <v>30</v>
      </c>
      <c r="E379" s="32">
        <f>IFERROR(INDEX(Produits!$D:$D,MATCH(B379,Produits!$A:$A,0)),0)</f>
        <v/>
      </c>
      <c r="F379" s="34" t="n">
        <v>0</v>
      </c>
      <c r="G379" s="35">
        <f>IFERROR(INDEX(Produits!$E:$E,MATCH(B379,Produits!$A:$A,0)),0)</f>
        <v/>
      </c>
      <c r="H379" s="32">
        <f>ROUND(D379*E379*(1-F379),2)</f>
        <v/>
      </c>
      <c r="I379" s="32">
        <f>ROUND(H379*G379,2)</f>
        <v/>
      </c>
    </row>
    <row r="380">
      <c r="A380" s="30" t="inlineStr">
        <is>
          <t>FA-2026-0111</t>
        </is>
      </c>
      <c r="B380" s="30" t="inlineStr">
        <is>
          <t>CF-P</t>
        </is>
      </c>
      <c r="C380" s="30">
        <f>IFERROR(INDEX(Produits!$B:$B,MATCH(B380,Produits!$A:$A,0)),"Réf inconnue")</f>
        <v/>
      </c>
      <c r="D380" s="30" t="n">
        <v>4</v>
      </c>
      <c r="E380" s="32">
        <f>IFERROR(INDEX(Produits!$D:$D,MATCH(B380,Produits!$A:$A,0)),0)</f>
        <v/>
      </c>
      <c r="F380" s="34" t="n">
        <v>0</v>
      </c>
      <c r="G380" s="35">
        <f>IFERROR(INDEX(Produits!$E:$E,MATCH(B380,Produits!$A:$A,0)),0)</f>
        <v/>
      </c>
      <c r="H380" s="32">
        <f>ROUND(D380*E380*(1-F380),2)</f>
        <v/>
      </c>
      <c r="I380" s="32">
        <f>ROUND(H380*G380,2)</f>
        <v/>
      </c>
    </row>
    <row r="381">
      <c r="A381" s="30" t="inlineStr">
        <is>
          <t>FA-2026-0111</t>
        </is>
      </c>
      <c r="B381" s="30" t="inlineStr">
        <is>
          <t>HO-5</t>
        </is>
      </c>
      <c r="C381" s="30">
        <f>IFERROR(INDEX(Produits!$B:$B,MATCH(B381,Produits!$A:$A,0)),"Réf inconnue")</f>
        <v/>
      </c>
      <c r="D381" s="30" t="n">
        <v>17</v>
      </c>
      <c r="E381" s="32">
        <f>IFERROR(INDEX(Produits!$D:$D,MATCH(B381,Produits!$A:$A,0)),0)</f>
        <v/>
      </c>
      <c r="F381" s="34" t="n">
        <v>0</v>
      </c>
      <c r="G381" s="35">
        <f>IFERROR(INDEX(Produits!$E:$E,MATCH(B381,Produits!$A:$A,0)),0)</f>
        <v/>
      </c>
      <c r="H381" s="32">
        <f>ROUND(D381*E381*(1-F381),2)</f>
        <v/>
      </c>
      <c r="I381" s="32">
        <f>ROUND(H381*G381,2)</f>
        <v/>
      </c>
    </row>
    <row r="382">
      <c r="A382" s="30" t="inlineStr">
        <is>
          <t>FA-2026-0111</t>
        </is>
      </c>
      <c r="B382" s="30" t="inlineStr">
        <is>
          <t>HO-1</t>
        </is>
      </c>
      <c r="C382" s="30">
        <f>IFERROR(INDEX(Produits!$B:$B,MATCH(B382,Produits!$A:$A,0)),"Réf inconnue")</f>
        <v/>
      </c>
      <c r="D382" s="30" t="n">
        <v>7</v>
      </c>
      <c r="E382" s="32">
        <f>IFERROR(INDEX(Produits!$D:$D,MATCH(B382,Produits!$A:$A,0)),0)</f>
        <v/>
      </c>
      <c r="F382" s="34" t="n">
        <v>0</v>
      </c>
      <c r="G382" s="35">
        <f>IFERROR(INDEX(Produits!$E:$E,MATCH(B382,Produits!$A:$A,0)),0)</f>
        <v/>
      </c>
      <c r="H382" s="32">
        <f>ROUND(D382*E382*(1-F382),2)</f>
        <v/>
      </c>
      <c r="I382" s="32">
        <f>ROUND(H382*G382,2)</f>
        <v/>
      </c>
    </row>
    <row r="383">
      <c r="A383" s="30" t="inlineStr">
        <is>
          <t>FA-2026-0111</t>
        </is>
      </c>
      <c r="B383" s="30" t="inlineStr">
        <is>
          <t>TP-O</t>
        </is>
      </c>
      <c r="C383" s="30">
        <f>IFERROR(INDEX(Produits!$B:$B,MATCH(B383,Produits!$A:$A,0)),"Réf inconnue")</f>
        <v/>
      </c>
      <c r="D383" s="30" t="n">
        <v>14</v>
      </c>
      <c r="E383" s="32">
        <f>IFERROR(INDEX(Produits!$D:$D,MATCH(B383,Produits!$A:$A,0)),0)</f>
        <v/>
      </c>
      <c r="F383" s="34" t="n">
        <v>0</v>
      </c>
      <c r="G383" s="35">
        <f>IFERROR(INDEX(Produits!$E:$E,MATCH(B383,Produits!$A:$A,0)),0)</f>
        <v/>
      </c>
      <c r="H383" s="32">
        <f>ROUND(D383*E383*(1-F383),2)</f>
        <v/>
      </c>
      <c r="I383" s="32">
        <f>ROUND(H383*G383,2)</f>
        <v/>
      </c>
    </row>
    <row r="384">
      <c r="A384" s="30" t="inlineStr">
        <is>
          <t>FA-2026-0112</t>
        </is>
      </c>
      <c r="B384" s="30" t="inlineStr">
        <is>
          <t>CF-D</t>
        </is>
      </c>
      <c r="C384" s="30">
        <f>IFERROR(INDEX(Produits!$B:$B,MATCH(B384,Produits!$A:$A,0)),"Réf inconnue")</f>
        <v/>
      </c>
      <c r="D384" s="30" t="n">
        <v>1</v>
      </c>
      <c r="E384" s="32">
        <f>IFERROR(INDEX(Produits!$D:$D,MATCH(B384,Produits!$A:$A,0)),0)</f>
        <v/>
      </c>
      <c r="F384" s="34" t="n">
        <v>0</v>
      </c>
      <c r="G384" s="35">
        <f>IFERROR(INDEX(Produits!$E:$E,MATCH(B384,Produits!$A:$A,0)),0)</f>
        <v/>
      </c>
      <c r="H384" s="32">
        <f>ROUND(D384*E384*(1-F384),2)</f>
        <v/>
      </c>
      <c r="I384" s="32">
        <f>ROUND(H384*G384,2)</f>
        <v/>
      </c>
    </row>
    <row r="385">
      <c r="A385" s="30" t="inlineStr">
        <is>
          <t>FA-2026-0112</t>
        </is>
      </c>
      <c r="B385" s="30" t="inlineStr">
        <is>
          <t>HO-T3</t>
        </is>
      </c>
      <c r="C385" s="30">
        <f>IFERROR(INDEX(Produits!$B:$B,MATCH(B385,Produits!$A:$A,0)),"Réf inconnue")</f>
        <v/>
      </c>
      <c r="D385" s="30" t="n">
        <v>7</v>
      </c>
      <c r="E385" s="32">
        <f>IFERROR(INDEX(Produits!$D:$D,MATCH(B385,Produits!$A:$A,0)),0)</f>
        <v/>
      </c>
      <c r="F385" s="34" t="n">
        <v>0</v>
      </c>
      <c r="G385" s="35">
        <f>IFERROR(INDEX(Produits!$E:$E,MATCH(B385,Produits!$A:$A,0)),0)</f>
        <v/>
      </c>
      <c r="H385" s="32">
        <f>ROUND(D385*E385*(1-F385),2)</f>
        <v/>
      </c>
      <c r="I385" s="32">
        <f>ROUND(H385*G385,2)</f>
        <v/>
      </c>
    </row>
    <row r="386">
      <c r="A386" s="30" t="inlineStr">
        <is>
          <t>FA-2026-0112</t>
        </is>
      </c>
      <c r="B386" s="30" t="inlineStr">
        <is>
          <t>OL-N</t>
        </is>
      </c>
      <c r="C386" s="30">
        <f>IFERROR(INDEX(Produits!$B:$B,MATCH(B386,Produits!$A:$A,0)),"Réf inconnue")</f>
        <v/>
      </c>
      <c r="D386" s="30" t="n">
        <v>2</v>
      </c>
      <c r="E386" s="32">
        <f>IFERROR(INDEX(Produits!$D:$D,MATCH(B386,Produits!$A:$A,0)),0)</f>
        <v/>
      </c>
      <c r="F386" s="34" t="n">
        <v>0</v>
      </c>
      <c r="G386" s="35">
        <f>IFERROR(INDEX(Produits!$E:$E,MATCH(B386,Produits!$A:$A,0)),0)</f>
        <v/>
      </c>
      <c r="H386" s="32">
        <f>ROUND(D386*E386*(1-F386),2)</f>
        <v/>
      </c>
      <c r="I386" s="32">
        <f>ROUND(H386*G386,2)</f>
        <v/>
      </c>
    </row>
    <row r="387">
      <c r="A387" s="30" t="inlineStr">
        <is>
          <t>FA-2026-0112</t>
        </is>
      </c>
      <c r="B387" s="30" t="inlineStr">
        <is>
          <t>CF-P</t>
        </is>
      </c>
      <c r="C387" s="30">
        <f>IFERROR(INDEX(Produits!$B:$B,MATCH(B387,Produits!$A:$A,0)),"Réf inconnue")</f>
        <v/>
      </c>
      <c r="D387" s="30" t="n">
        <v>1</v>
      </c>
      <c r="E387" s="32">
        <f>IFERROR(INDEX(Produits!$D:$D,MATCH(B387,Produits!$A:$A,0)),0)</f>
        <v/>
      </c>
      <c r="F387" s="34" t="n">
        <v>0</v>
      </c>
      <c r="G387" s="35">
        <f>IFERROR(INDEX(Produits!$E:$E,MATCH(B387,Produits!$A:$A,0)),0)</f>
        <v/>
      </c>
      <c r="H387" s="32">
        <f>ROUND(D387*E387*(1-F387),2)</f>
        <v/>
      </c>
      <c r="I387" s="32">
        <f>ROUND(H387*G387,2)</f>
        <v/>
      </c>
    </row>
    <row r="388">
      <c r="A388" s="30" t="inlineStr">
        <is>
          <t>FA-2026-0112</t>
        </is>
      </c>
      <c r="B388" s="30" t="inlineStr">
        <is>
          <t>HO-5</t>
        </is>
      </c>
      <c r="C388" s="30">
        <f>IFERROR(INDEX(Produits!$B:$B,MATCH(B388,Produits!$A:$A,0)),"Réf inconnue")</f>
        <v/>
      </c>
      <c r="D388" s="30" t="n">
        <v>9</v>
      </c>
      <c r="E388" s="32">
        <f>IFERROR(INDEX(Produits!$D:$D,MATCH(B388,Produits!$A:$A,0)),0)</f>
        <v/>
      </c>
      <c r="F388" s="34" t="n">
        <v>0</v>
      </c>
      <c r="G388" s="35">
        <f>IFERROR(INDEX(Produits!$E:$E,MATCH(B388,Produits!$A:$A,0)),0)</f>
        <v/>
      </c>
      <c r="H388" s="32">
        <f>ROUND(D388*E388*(1-F388),2)</f>
        <v/>
      </c>
      <c r="I388" s="32">
        <f>ROUND(H388*G388,2)</f>
        <v/>
      </c>
    </row>
    <row r="389">
      <c r="A389" s="30" t="inlineStr">
        <is>
          <t>FA-2026-0113</t>
        </is>
      </c>
      <c r="B389" s="30" t="inlineStr">
        <is>
          <t>OL-N</t>
        </is>
      </c>
      <c r="C389" s="30">
        <f>IFERROR(INDEX(Produits!$B:$B,MATCH(B389,Produits!$A:$A,0)),"Réf inconnue")</f>
        <v/>
      </c>
      <c r="D389" s="30" t="n">
        <v>14</v>
      </c>
      <c r="E389" s="32">
        <f>IFERROR(INDEX(Produits!$D:$D,MATCH(B389,Produits!$A:$A,0)),0)</f>
        <v/>
      </c>
      <c r="F389" s="34" t="n">
        <v>0</v>
      </c>
      <c r="G389" s="35">
        <f>IFERROR(INDEX(Produits!$E:$E,MATCH(B389,Produits!$A:$A,0)),0)</f>
        <v/>
      </c>
      <c r="H389" s="32">
        <f>ROUND(D389*E389*(1-F389),2)</f>
        <v/>
      </c>
      <c r="I389" s="32">
        <f>ROUND(H389*G389,2)</f>
        <v/>
      </c>
    </row>
    <row r="390">
      <c r="A390" s="30" t="inlineStr">
        <is>
          <t>FA-2026-0113</t>
        </is>
      </c>
      <c r="B390" s="30" t="inlineStr">
        <is>
          <t>TP-O</t>
        </is>
      </c>
      <c r="C390" s="30">
        <f>IFERROR(INDEX(Produits!$B:$B,MATCH(B390,Produits!$A:$A,0)),"Réf inconnue")</f>
        <v/>
      </c>
      <c r="D390" s="30" t="n">
        <v>12</v>
      </c>
      <c r="E390" s="32">
        <f>IFERROR(INDEX(Produits!$D:$D,MATCH(B390,Produits!$A:$A,0)),0)</f>
        <v/>
      </c>
      <c r="F390" s="34" t="n">
        <v>0</v>
      </c>
      <c r="G390" s="35">
        <f>IFERROR(INDEX(Produits!$E:$E,MATCH(B390,Produits!$A:$A,0)),0)</f>
        <v/>
      </c>
      <c r="H390" s="32">
        <f>ROUND(D390*E390*(1-F390),2)</f>
        <v/>
      </c>
      <c r="I390" s="32">
        <f>ROUND(H390*G390,2)</f>
        <v/>
      </c>
    </row>
    <row r="391">
      <c r="A391" s="30" t="inlineStr">
        <is>
          <t>FA-2026-0113</t>
        </is>
      </c>
      <c r="B391" s="30" t="inlineStr">
        <is>
          <t>HO-T3</t>
        </is>
      </c>
      <c r="C391" s="30">
        <f>IFERROR(INDEX(Produits!$B:$B,MATCH(B391,Produits!$A:$A,0)),"Réf inconnue")</f>
        <v/>
      </c>
      <c r="D391" s="30" t="n">
        <v>16</v>
      </c>
      <c r="E391" s="32">
        <f>IFERROR(INDEX(Produits!$D:$D,MATCH(B391,Produits!$A:$A,0)),0)</f>
        <v/>
      </c>
      <c r="F391" s="34" t="n">
        <v>0</v>
      </c>
      <c r="G391" s="35">
        <f>IFERROR(INDEX(Produits!$E:$E,MATCH(B391,Produits!$A:$A,0)),0)</f>
        <v/>
      </c>
      <c r="H391" s="32">
        <f>ROUND(D391*E391*(1-F391),2)</f>
        <v/>
      </c>
      <c r="I391" s="32">
        <f>ROUND(H391*G391,2)</f>
        <v/>
      </c>
    </row>
    <row r="392">
      <c r="A392" s="30" t="inlineStr">
        <is>
          <t>FA-2026-0114</t>
        </is>
      </c>
      <c r="B392" s="30" t="inlineStr">
        <is>
          <t>TP-O</t>
        </is>
      </c>
      <c r="C392" s="30">
        <f>IFERROR(INDEX(Produits!$B:$B,MATCH(B392,Produits!$A:$A,0)),"Réf inconnue")</f>
        <v/>
      </c>
      <c r="D392" s="30" t="n">
        <v>7</v>
      </c>
      <c r="E392" s="32">
        <f>IFERROR(INDEX(Produits!$D:$D,MATCH(B392,Produits!$A:$A,0)),0)</f>
        <v/>
      </c>
      <c r="F392" s="34" t="n">
        <v>0</v>
      </c>
      <c r="G392" s="35">
        <f>IFERROR(INDEX(Produits!$E:$E,MATCH(B392,Produits!$A:$A,0)),0)</f>
        <v/>
      </c>
      <c r="H392" s="32">
        <f>ROUND(D392*E392*(1-F392),2)</f>
        <v/>
      </c>
      <c r="I392" s="32">
        <f>ROUND(H392*G392,2)</f>
        <v/>
      </c>
    </row>
    <row r="393">
      <c r="A393" s="30" t="inlineStr">
        <is>
          <t>FA-2026-0114</t>
        </is>
      </c>
      <c r="B393" s="30" t="inlineStr">
        <is>
          <t>HO-5</t>
        </is>
      </c>
      <c r="C393" s="30">
        <f>IFERROR(INDEX(Produits!$B:$B,MATCH(B393,Produits!$A:$A,0)),"Réf inconnue")</f>
        <v/>
      </c>
      <c r="D393" s="30" t="n">
        <v>8</v>
      </c>
      <c r="E393" s="32">
        <f>IFERROR(INDEX(Produits!$D:$D,MATCH(B393,Produits!$A:$A,0)),0)</f>
        <v/>
      </c>
      <c r="F393" s="34" t="n">
        <v>0</v>
      </c>
      <c r="G393" s="35">
        <f>IFERROR(INDEX(Produits!$E:$E,MATCH(B393,Produits!$A:$A,0)),0)</f>
        <v/>
      </c>
      <c r="H393" s="32">
        <f>ROUND(D393*E393*(1-F393),2)</f>
        <v/>
      </c>
      <c r="I393" s="32">
        <f>ROUND(H393*G393,2)</f>
        <v/>
      </c>
    </row>
    <row r="394">
      <c r="A394" s="30" t="inlineStr">
        <is>
          <t>FA-2026-0114</t>
        </is>
      </c>
      <c r="B394" s="30" t="inlineStr">
        <is>
          <t>HO-1</t>
        </is>
      </c>
      <c r="C394" s="30">
        <f>IFERROR(INDEX(Produits!$B:$B,MATCH(B394,Produits!$A:$A,0)),"Réf inconnue")</f>
        <v/>
      </c>
      <c r="D394" s="30" t="n">
        <v>16</v>
      </c>
      <c r="E394" s="32">
        <f>IFERROR(INDEX(Produits!$D:$D,MATCH(B394,Produits!$A:$A,0)),0)</f>
        <v/>
      </c>
      <c r="F394" s="34" t="n">
        <v>0</v>
      </c>
      <c r="G394" s="35">
        <f>IFERROR(INDEX(Produits!$E:$E,MATCH(B394,Produits!$A:$A,0)),0)</f>
        <v/>
      </c>
      <c r="H394" s="32">
        <f>ROUND(D394*E394*(1-F394),2)</f>
        <v/>
      </c>
      <c r="I394" s="32">
        <f>ROUND(H394*G394,2)</f>
        <v/>
      </c>
    </row>
    <row r="395">
      <c r="A395" s="30" t="inlineStr">
        <is>
          <t>FA-2026-0115</t>
        </is>
      </c>
      <c r="B395" s="30" t="inlineStr">
        <is>
          <t>CF-P</t>
        </is>
      </c>
      <c r="C395" s="30">
        <f>IFERROR(INDEX(Produits!$B:$B,MATCH(B395,Produits!$A:$A,0)),"Réf inconnue")</f>
        <v/>
      </c>
      <c r="D395" s="30" t="n">
        <v>1</v>
      </c>
      <c r="E395" s="32">
        <f>IFERROR(INDEX(Produits!$D:$D,MATCH(B395,Produits!$A:$A,0)),0)</f>
        <v/>
      </c>
      <c r="F395" s="34" t="n">
        <v>0</v>
      </c>
      <c r="G395" s="35">
        <f>IFERROR(INDEX(Produits!$E:$E,MATCH(B395,Produits!$A:$A,0)),0)</f>
        <v/>
      </c>
      <c r="H395" s="32">
        <f>ROUND(D395*E395*(1-F395),2)</f>
        <v/>
      </c>
      <c r="I395" s="32">
        <f>ROUND(H395*G395,2)</f>
        <v/>
      </c>
    </row>
    <row r="396">
      <c r="A396" s="30" t="inlineStr">
        <is>
          <t>FA-2026-0115</t>
        </is>
      </c>
      <c r="B396" s="30" t="inlineStr">
        <is>
          <t>OL-V</t>
        </is>
      </c>
      <c r="C396" s="30">
        <f>IFERROR(INDEX(Produits!$B:$B,MATCH(B396,Produits!$A:$A,0)),"Réf inconnue")</f>
        <v/>
      </c>
      <c r="D396" s="30" t="n">
        <v>7</v>
      </c>
      <c r="E396" s="32">
        <f>IFERROR(INDEX(Produits!$D:$D,MATCH(B396,Produits!$A:$A,0)),0)</f>
        <v/>
      </c>
      <c r="F396" s="34" t="n">
        <v>0</v>
      </c>
      <c r="G396" s="35">
        <f>IFERROR(INDEX(Produits!$E:$E,MATCH(B396,Produits!$A:$A,0)),0)</f>
        <v/>
      </c>
      <c r="H396" s="32">
        <f>ROUND(D396*E396*(1-F396),2)</f>
        <v/>
      </c>
      <c r="I396" s="32">
        <f>ROUND(H396*G396,2)</f>
        <v/>
      </c>
    </row>
    <row r="397">
      <c r="A397" s="30" t="inlineStr">
        <is>
          <t>FA-2026-0115</t>
        </is>
      </c>
      <c r="B397" s="30" t="inlineStr">
        <is>
          <t>TP-O</t>
        </is>
      </c>
      <c r="C397" s="30">
        <f>IFERROR(INDEX(Produits!$B:$B,MATCH(B397,Produits!$A:$A,0)),"Réf inconnue")</f>
        <v/>
      </c>
      <c r="D397" s="30" t="n">
        <v>4</v>
      </c>
      <c r="E397" s="32">
        <f>IFERROR(INDEX(Produits!$D:$D,MATCH(B397,Produits!$A:$A,0)),0)</f>
        <v/>
      </c>
      <c r="F397" s="34" t="n">
        <v>0</v>
      </c>
      <c r="G397" s="35">
        <f>IFERROR(INDEX(Produits!$E:$E,MATCH(B397,Produits!$A:$A,0)),0)</f>
        <v/>
      </c>
      <c r="H397" s="32">
        <f>ROUND(D397*E397*(1-F397),2)</f>
        <v/>
      </c>
      <c r="I397" s="32">
        <f>ROUND(H397*G397,2)</f>
        <v/>
      </c>
    </row>
    <row r="398">
      <c r="A398" s="30" t="inlineStr">
        <is>
          <t>FA-2026-0115</t>
        </is>
      </c>
      <c r="B398" s="30" t="inlineStr">
        <is>
          <t>HO-1</t>
        </is>
      </c>
      <c r="C398" s="30">
        <f>IFERROR(INDEX(Produits!$B:$B,MATCH(B398,Produits!$A:$A,0)),"Réf inconnue")</f>
        <v/>
      </c>
      <c r="D398" s="30" t="n">
        <v>10</v>
      </c>
      <c r="E398" s="32">
        <f>IFERROR(INDEX(Produits!$D:$D,MATCH(B398,Produits!$A:$A,0)),0)</f>
        <v/>
      </c>
      <c r="F398" s="34" t="n">
        <v>0</v>
      </c>
      <c r="G398" s="35">
        <f>IFERROR(INDEX(Produits!$E:$E,MATCH(B398,Produits!$A:$A,0)),0)</f>
        <v/>
      </c>
      <c r="H398" s="32">
        <f>ROUND(D398*E398*(1-F398),2)</f>
        <v/>
      </c>
      <c r="I398" s="32">
        <f>ROUND(H398*G398,2)</f>
        <v/>
      </c>
    </row>
    <row r="399">
      <c r="A399" s="30" t="inlineStr">
        <is>
          <t>FA-2026-0115</t>
        </is>
      </c>
      <c r="B399" s="30" t="inlineStr">
        <is>
          <t>OL-N</t>
        </is>
      </c>
      <c r="C399" s="30">
        <f>IFERROR(INDEX(Produits!$B:$B,MATCH(B399,Produits!$A:$A,0)),"Réf inconnue")</f>
        <v/>
      </c>
      <c r="D399" s="30" t="n">
        <v>14</v>
      </c>
      <c r="E399" s="32">
        <f>IFERROR(INDEX(Produits!$D:$D,MATCH(B399,Produits!$A:$A,0)),0)</f>
        <v/>
      </c>
      <c r="F399" s="34" t="n">
        <v>0</v>
      </c>
      <c r="G399" s="35">
        <f>IFERROR(INDEX(Produits!$E:$E,MATCH(B399,Produits!$A:$A,0)),0)</f>
        <v/>
      </c>
      <c r="H399" s="32">
        <f>ROUND(D399*E399*(1-F399),2)</f>
        <v/>
      </c>
      <c r="I399" s="32">
        <f>ROUND(H399*G399,2)</f>
        <v/>
      </c>
    </row>
    <row r="400">
      <c r="A400" s="30" t="inlineStr">
        <is>
          <t>FA-2026-0116</t>
        </is>
      </c>
      <c r="B400" s="30" t="inlineStr">
        <is>
          <t>OL-N</t>
        </is>
      </c>
      <c r="C400" s="30">
        <f>IFERROR(INDEX(Produits!$B:$B,MATCH(B400,Produits!$A:$A,0)),"Réf inconnue")</f>
        <v/>
      </c>
      <c r="D400" s="30" t="n">
        <v>11</v>
      </c>
      <c r="E400" s="32">
        <f>IFERROR(INDEX(Produits!$D:$D,MATCH(B400,Produits!$A:$A,0)),0)</f>
        <v/>
      </c>
      <c r="F400" s="34" t="n">
        <v>0</v>
      </c>
      <c r="G400" s="35">
        <f>IFERROR(INDEX(Produits!$E:$E,MATCH(B400,Produits!$A:$A,0)),0)</f>
        <v/>
      </c>
      <c r="H400" s="32">
        <f>ROUND(D400*E400*(1-F400),2)</f>
        <v/>
      </c>
      <c r="I400" s="32">
        <f>ROUND(H400*G400,2)</f>
        <v/>
      </c>
    </row>
    <row r="401">
      <c r="A401" s="30" t="inlineStr">
        <is>
          <t>FA-2026-0116</t>
        </is>
      </c>
      <c r="B401" s="30" t="inlineStr">
        <is>
          <t>OL-V</t>
        </is>
      </c>
      <c r="C401" s="30">
        <f>IFERROR(INDEX(Produits!$B:$B,MATCH(B401,Produits!$A:$A,0)),"Réf inconnue")</f>
        <v/>
      </c>
      <c r="D401" s="30" t="n">
        <v>28</v>
      </c>
      <c r="E401" s="32">
        <f>IFERROR(INDEX(Produits!$D:$D,MATCH(B401,Produits!$A:$A,0)),0)</f>
        <v/>
      </c>
      <c r="F401" s="34" t="n">
        <v>0</v>
      </c>
      <c r="G401" s="35">
        <f>IFERROR(INDEX(Produits!$E:$E,MATCH(B401,Produits!$A:$A,0)),0)</f>
        <v/>
      </c>
      <c r="H401" s="32">
        <f>ROUND(D401*E401*(1-F401),2)</f>
        <v/>
      </c>
      <c r="I401" s="32">
        <f>ROUND(H401*G401,2)</f>
        <v/>
      </c>
    </row>
    <row r="402">
      <c r="A402" s="30" t="inlineStr">
        <is>
          <t>FA-2026-0116</t>
        </is>
      </c>
      <c r="B402" s="30" t="inlineStr">
        <is>
          <t>CF-P</t>
        </is>
      </c>
      <c r="C402" s="30">
        <f>IFERROR(INDEX(Produits!$B:$B,MATCH(B402,Produits!$A:$A,0)),"Réf inconnue")</f>
        <v/>
      </c>
      <c r="D402" s="30" t="n">
        <v>3</v>
      </c>
      <c r="E402" s="32">
        <f>IFERROR(INDEX(Produits!$D:$D,MATCH(B402,Produits!$A:$A,0)),0)</f>
        <v/>
      </c>
      <c r="F402" s="34" t="n">
        <v>0</v>
      </c>
      <c r="G402" s="35">
        <f>IFERROR(INDEX(Produits!$E:$E,MATCH(B402,Produits!$A:$A,0)),0)</f>
        <v/>
      </c>
      <c r="H402" s="32">
        <f>ROUND(D402*E402*(1-F402),2)</f>
        <v/>
      </c>
      <c r="I402" s="32">
        <f>ROUND(H402*G402,2)</f>
        <v/>
      </c>
    </row>
    <row r="403">
      <c r="A403" s="30" t="inlineStr">
        <is>
          <t>FA-2026-0116</t>
        </is>
      </c>
      <c r="B403" s="30" t="inlineStr">
        <is>
          <t>HO-1</t>
        </is>
      </c>
      <c r="C403" s="30">
        <f>IFERROR(INDEX(Produits!$B:$B,MATCH(B403,Produits!$A:$A,0)),"Réf inconnue")</f>
        <v/>
      </c>
      <c r="D403" s="30" t="n">
        <v>11</v>
      </c>
      <c r="E403" s="32">
        <f>IFERROR(INDEX(Produits!$D:$D,MATCH(B403,Produits!$A:$A,0)),0)</f>
        <v/>
      </c>
      <c r="F403" s="34" t="n">
        <v>0</v>
      </c>
      <c r="G403" s="35">
        <f>IFERROR(INDEX(Produits!$E:$E,MATCH(B403,Produits!$A:$A,0)),0)</f>
        <v/>
      </c>
      <c r="H403" s="32">
        <f>ROUND(D403*E403*(1-F403),2)</f>
        <v/>
      </c>
      <c r="I403" s="32">
        <f>ROUND(H403*G403,2)</f>
        <v/>
      </c>
    </row>
    <row r="404">
      <c r="A404" s="30" t="inlineStr">
        <is>
          <t>FA-2026-0117</t>
        </is>
      </c>
      <c r="B404" s="30" t="inlineStr">
        <is>
          <t>OL-V</t>
        </is>
      </c>
      <c r="C404" s="30">
        <f>IFERROR(INDEX(Produits!$B:$B,MATCH(B404,Produits!$A:$A,0)),"Réf inconnue")</f>
        <v/>
      </c>
      <c r="D404" s="30" t="n">
        <v>15</v>
      </c>
      <c r="E404" s="32">
        <f>IFERROR(INDEX(Produits!$D:$D,MATCH(B404,Produits!$A:$A,0)),0)</f>
        <v/>
      </c>
      <c r="F404" s="34" t="n">
        <v>0</v>
      </c>
      <c r="G404" s="35">
        <f>IFERROR(INDEX(Produits!$E:$E,MATCH(B404,Produits!$A:$A,0)),0)</f>
        <v/>
      </c>
      <c r="H404" s="32">
        <f>ROUND(D404*E404*(1-F404),2)</f>
        <v/>
      </c>
      <c r="I404" s="32">
        <f>ROUND(H404*G404,2)</f>
        <v/>
      </c>
    </row>
    <row r="405">
      <c r="A405" s="30" t="inlineStr">
        <is>
          <t>FA-2026-0117</t>
        </is>
      </c>
      <c r="B405" s="30" t="inlineStr">
        <is>
          <t>OL-N</t>
        </is>
      </c>
      <c r="C405" s="30">
        <f>IFERROR(INDEX(Produits!$B:$B,MATCH(B405,Produits!$A:$A,0)),"Réf inconnue")</f>
        <v/>
      </c>
      <c r="D405" s="30" t="n">
        <v>23</v>
      </c>
      <c r="E405" s="32">
        <f>IFERROR(INDEX(Produits!$D:$D,MATCH(B405,Produits!$A:$A,0)),0)</f>
        <v/>
      </c>
      <c r="F405" s="34" t="n">
        <v>0</v>
      </c>
      <c r="G405" s="35">
        <f>IFERROR(INDEX(Produits!$E:$E,MATCH(B405,Produits!$A:$A,0)),0)</f>
        <v/>
      </c>
      <c r="H405" s="32">
        <f>ROUND(D405*E405*(1-F405),2)</f>
        <v/>
      </c>
      <c r="I405" s="32">
        <f>ROUND(H405*G405,2)</f>
        <v/>
      </c>
    </row>
    <row r="406">
      <c r="A406" s="30" t="inlineStr">
        <is>
          <t>FA-2026-0117</t>
        </is>
      </c>
      <c r="B406" s="30" t="inlineStr">
        <is>
          <t>CF-D</t>
        </is>
      </c>
      <c r="C406" s="30">
        <f>IFERROR(INDEX(Produits!$B:$B,MATCH(B406,Produits!$A:$A,0)),"Réf inconnue")</f>
        <v/>
      </c>
      <c r="D406" s="30" t="n">
        <v>2</v>
      </c>
      <c r="E406" s="32">
        <f>IFERROR(INDEX(Produits!$D:$D,MATCH(B406,Produits!$A:$A,0)),0)</f>
        <v/>
      </c>
      <c r="F406" s="34" t="n">
        <v>0</v>
      </c>
      <c r="G406" s="35">
        <f>IFERROR(INDEX(Produits!$E:$E,MATCH(B406,Produits!$A:$A,0)),0)</f>
        <v/>
      </c>
      <c r="H406" s="32">
        <f>ROUND(D406*E406*(1-F406),2)</f>
        <v/>
      </c>
      <c r="I406" s="32">
        <f>ROUND(H406*G406,2)</f>
        <v/>
      </c>
    </row>
    <row r="407">
      <c r="A407" s="30" t="inlineStr">
        <is>
          <t>FA-2026-0117</t>
        </is>
      </c>
      <c r="B407" s="30" t="inlineStr">
        <is>
          <t>CF-P</t>
        </is>
      </c>
      <c r="C407" s="30">
        <f>IFERROR(INDEX(Produits!$B:$B,MATCH(B407,Produits!$A:$A,0)),"Réf inconnue")</f>
        <v/>
      </c>
      <c r="D407" s="30" t="n">
        <v>3</v>
      </c>
      <c r="E407" s="32">
        <f>IFERROR(INDEX(Produits!$D:$D,MATCH(B407,Produits!$A:$A,0)),0)</f>
        <v/>
      </c>
      <c r="F407" s="34" t="n">
        <v>0</v>
      </c>
      <c r="G407" s="35">
        <f>IFERROR(INDEX(Produits!$E:$E,MATCH(B407,Produits!$A:$A,0)),0)</f>
        <v/>
      </c>
      <c r="H407" s="32">
        <f>ROUND(D407*E407*(1-F407),2)</f>
        <v/>
      </c>
      <c r="I407" s="32">
        <f>ROUND(H407*G407,2)</f>
        <v/>
      </c>
    </row>
    <row r="408">
      <c r="A408" s="30" t="inlineStr">
        <is>
          <t>FA-2026-0118</t>
        </is>
      </c>
      <c r="B408" s="30" t="inlineStr">
        <is>
          <t>CF-D</t>
        </is>
      </c>
      <c r="C408" s="30">
        <f>IFERROR(INDEX(Produits!$B:$B,MATCH(B408,Produits!$A:$A,0)),"Réf inconnue")</f>
        <v/>
      </c>
      <c r="D408" s="30" t="n">
        <v>2</v>
      </c>
      <c r="E408" s="32">
        <f>IFERROR(INDEX(Produits!$D:$D,MATCH(B408,Produits!$A:$A,0)),0)</f>
        <v/>
      </c>
      <c r="F408" s="34" t="n">
        <v>0</v>
      </c>
      <c r="G408" s="35">
        <f>IFERROR(INDEX(Produits!$E:$E,MATCH(B408,Produits!$A:$A,0)),0)</f>
        <v/>
      </c>
      <c r="H408" s="32">
        <f>ROUND(D408*E408*(1-F408),2)</f>
        <v/>
      </c>
      <c r="I408" s="32">
        <f>ROUND(H408*G408,2)</f>
        <v/>
      </c>
    </row>
    <row r="409">
      <c r="A409" s="30" t="inlineStr">
        <is>
          <t>FA-2026-0118</t>
        </is>
      </c>
      <c r="B409" s="30" t="inlineStr">
        <is>
          <t>HO-5</t>
        </is>
      </c>
      <c r="C409" s="30">
        <f>IFERROR(INDEX(Produits!$B:$B,MATCH(B409,Produits!$A:$A,0)),"Réf inconnue")</f>
        <v/>
      </c>
      <c r="D409" s="30" t="n">
        <v>12</v>
      </c>
      <c r="E409" s="32">
        <f>IFERROR(INDEX(Produits!$D:$D,MATCH(B409,Produits!$A:$A,0)),0)</f>
        <v/>
      </c>
      <c r="F409" s="34" t="n">
        <v>0</v>
      </c>
      <c r="G409" s="35">
        <f>IFERROR(INDEX(Produits!$E:$E,MATCH(B409,Produits!$A:$A,0)),0)</f>
        <v/>
      </c>
      <c r="H409" s="32">
        <f>ROUND(D409*E409*(1-F409),2)</f>
        <v/>
      </c>
      <c r="I409" s="32">
        <f>ROUND(H409*G409,2)</f>
        <v/>
      </c>
    </row>
    <row r="410">
      <c r="A410" s="30" t="inlineStr">
        <is>
          <t>FA-2026-0118</t>
        </is>
      </c>
      <c r="B410" s="30" t="inlineStr">
        <is>
          <t>CF-P</t>
        </is>
      </c>
      <c r="C410" s="30">
        <f>IFERROR(INDEX(Produits!$B:$B,MATCH(B410,Produits!$A:$A,0)),"Réf inconnue")</f>
        <v/>
      </c>
      <c r="D410" s="30" t="n">
        <v>5</v>
      </c>
      <c r="E410" s="32">
        <f>IFERROR(INDEX(Produits!$D:$D,MATCH(B410,Produits!$A:$A,0)),0)</f>
        <v/>
      </c>
      <c r="F410" s="34" t="n">
        <v>0</v>
      </c>
      <c r="G410" s="35">
        <f>IFERROR(INDEX(Produits!$E:$E,MATCH(B410,Produits!$A:$A,0)),0)</f>
        <v/>
      </c>
      <c r="H410" s="32">
        <f>ROUND(D410*E410*(1-F410),2)</f>
        <v/>
      </c>
      <c r="I410" s="32">
        <f>ROUND(H410*G410,2)</f>
        <v/>
      </c>
    </row>
    <row r="411">
      <c r="A411" s="30" t="inlineStr">
        <is>
          <t>FA-2026-0118</t>
        </is>
      </c>
      <c r="B411" s="30" t="inlineStr">
        <is>
          <t>HO-T3</t>
        </is>
      </c>
      <c r="C411" s="30">
        <f>IFERROR(INDEX(Produits!$B:$B,MATCH(B411,Produits!$A:$A,0)),"Réf inconnue")</f>
        <v/>
      </c>
      <c r="D411" s="30" t="n">
        <v>17</v>
      </c>
      <c r="E411" s="32">
        <f>IFERROR(INDEX(Produits!$D:$D,MATCH(B411,Produits!$A:$A,0)),0)</f>
        <v/>
      </c>
      <c r="F411" s="34" t="n">
        <v>0</v>
      </c>
      <c r="G411" s="35">
        <f>IFERROR(INDEX(Produits!$E:$E,MATCH(B411,Produits!$A:$A,0)),0)</f>
        <v/>
      </c>
      <c r="H411" s="32">
        <f>ROUND(D411*E411*(1-F411),2)</f>
        <v/>
      </c>
      <c r="I411" s="32">
        <f>ROUND(H411*G411,2)</f>
        <v/>
      </c>
    </row>
    <row r="412">
      <c r="A412" s="30" t="inlineStr">
        <is>
          <t>FA-2026-0118</t>
        </is>
      </c>
      <c r="B412" s="30" t="inlineStr">
        <is>
          <t>OL-V</t>
        </is>
      </c>
      <c r="C412" s="30">
        <f>IFERROR(INDEX(Produits!$B:$B,MATCH(B412,Produits!$A:$A,0)),"Réf inconnue")</f>
        <v/>
      </c>
      <c r="D412" s="30" t="n">
        <v>9</v>
      </c>
      <c r="E412" s="32">
        <f>IFERROR(INDEX(Produits!$D:$D,MATCH(B412,Produits!$A:$A,0)),0)</f>
        <v/>
      </c>
      <c r="F412" s="34" t="n">
        <v>0</v>
      </c>
      <c r="G412" s="35">
        <f>IFERROR(INDEX(Produits!$E:$E,MATCH(B412,Produits!$A:$A,0)),0)</f>
        <v/>
      </c>
      <c r="H412" s="32">
        <f>ROUND(D412*E412*(1-F412),2)</f>
        <v/>
      </c>
      <c r="I412" s="32">
        <f>ROUND(H412*G412,2)</f>
        <v/>
      </c>
    </row>
    <row r="413">
      <c r="A413" s="30" t="inlineStr">
        <is>
          <t>FA-2026-0119</t>
        </is>
      </c>
      <c r="B413" s="30" t="inlineStr">
        <is>
          <t>HO-05</t>
        </is>
      </c>
      <c r="C413" s="30">
        <f>IFERROR(INDEX(Produits!$B:$B,MATCH(B413,Produits!$A:$A,0)),"Réf inconnue")</f>
        <v/>
      </c>
      <c r="D413" s="30" t="n">
        <v>21</v>
      </c>
      <c r="E413" s="32">
        <f>IFERROR(INDEX(Produits!$D:$D,MATCH(B413,Produits!$A:$A,0)),0)</f>
        <v/>
      </c>
      <c r="F413" s="34" t="n">
        <v>0.03</v>
      </c>
      <c r="G413" s="35">
        <f>IFERROR(INDEX(Produits!$E:$E,MATCH(B413,Produits!$A:$A,0)),0)</f>
        <v/>
      </c>
      <c r="H413" s="32">
        <f>ROUND(D413*E413*(1-F413),2)</f>
        <v/>
      </c>
      <c r="I413" s="32">
        <f>ROUND(H413*G413,2)</f>
        <v/>
      </c>
    </row>
    <row r="414">
      <c r="A414" s="30" t="inlineStr">
        <is>
          <t>FA-2026-0119</t>
        </is>
      </c>
      <c r="B414" s="30" t="inlineStr">
        <is>
          <t>OL-V</t>
        </is>
      </c>
      <c r="C414" s="30">
        <f>IFERROR(INDEX(Produits!$B:$B,MATCH(B414,Produits!$A:$A,0)),"Réf inconnue")</f>
        <v/>
      </c>
      <c r="D414" s="30" t="n">
        <v>40</v>
      </c>
      <c r="E414" s="32">
        <f>IFERROR(INDEX(Produits!$D:$D,MATCH(B414,Produits!$A:$A,0)),0)</f>
        <v/>
      </c>
      <c r="F414" s="34" t="n">
        <v>0</v>
      </c>
      <c r="G414" s="35">
        <f>IFERROR(INDEX(Produits!$E:$E,MATCH(B414,Produits!$A:$A,0)),0)</f>
        <v/>
      </c>
      <c r="H414" s="32">
        <f>ROUND(D414*E414*(1-F414),2)</f>
        <v/>
      </c>
      <c r="I414" s="32">
        <f>ROUND(H414*G414,2)</f>
        <v/>
      </c>
    </row>
    <row r="415">
      <c r="A415" s="30" t="inlineStr">
        <is>
          <t>FA-2026-0119</t>
        </is>
      </c>
      <c r="B415" s="30" t="inlineStr">
        <is>
          <t>TP-O</t>
        </is>
      </c>
      <c r="C415" s="30">
        <f>IFERROR(INDEX(Produits!$B:$B,MATCH(B415,Produits!$A:$A,0)),"Réf inconnue")</f>
        <v/>
      </c>
      <c r="D415" s="30" t="n">
        <v>10</v>
      </c>
      <c r="E415" s="32">
        <f>IFERROR(INDEX(Produits!$D:$D,MATCH(B415,Produits!$A:$A,0)),0)</f>
        <v/>
      </c>
      <c r="F415" s="34" t="n">
        <v>0</v>
      </c>
      <c r="G415" s="35">
        <f>IFERROR(INDEX(Produits!$E:$E,MATCH(B415,Produits!$A:$A,0)),0)</f>
        <v/>
      </c>
      <c r="H415" s="32">
        <f>ROUND(D415*E415*(1-F415),2)</f>
        <v/>
      </c>
      <c r="I415" s="32">
        <f>ROUND(H415*G415,2)</f>
        <v/>
      </c>
    </row>
    <row r="416">
      <c r="A416" s="30" t="inlineStr">
        <is>
          <t>FA-2026-0120</t>
        </is>
      </c>
      <c r="B416" s="30" t="inlineStr">
        <is>
          <t>OL-V</t>
        </is>
      </c>
      <c r="C416" s="30">
        <f>IFERROR(INDEX(Produits!$B:$B,MATCH(B416,Produits!$A:$A,0)),"Réf inconnue")</f>
        <v/>
      </c>
      <c r="D416" s="30" t="n">
        <v>3</v>
      </c>
      <c r="E416" s="32">
        <f>IFERROR(INDEX(Produits!$D:$D,MATCH(B416,Produits!$A:$A,0)),0)</f>
        <v/>
      </c>
      <c r="F416" s="34" t="n">
        <v>0</v>
      </c>
      <c r="G416" s="35">
        <f>IFERROR(INDEX(Produits!$E:$E,MATCH(B416,Produits!$A:$A,0)),0)</f>
        <v/>
      </c>
      <c r="H416" s="32">
        <f>ROUND(D416*E416*(1-F416),2)</f>
        <v/>
      </c>
      <c r="I416" s="32">
        <f>ROUND(H416*G416,2)</f>
        <v/>
      </c>
    </row>
    <row r="417">
      <c r="A417" s="30" t="inlineStr">
        <is>
          <t>FA-2026-0120</t>
        </is>
      </c>
      <c r="B417" s="30" t="inlineStr">
        <is>
          <t>SV-O</t>
        </is>
      </c>
      <c r="C417" s="30">
        <f>IFERROR(INDEX(Produits!$B:$B,MATCH(B417,Produits!$A:$A,0)),"Réf inconnue")</f>
        <v/>
      </c>
      <c r="D417" s="30" t="n">
        <v>15</v>
      </c>
      <c r="E417" s="32">
        <f>IFERROR(INDEX(Produits!$D:$D,MATCH(B417,Produits!$A:$A,0)),0)</f>
        <v/>
      </c>
      <c r="F417" s="34" t="n">
        <v>0</v>
      </c>
      <c r="G417" s="35">
        <f>IFERROR(INDEX(Produits!$E:$E,MATCH(B417,Produits!$A:$A,0)),0)</f>
        <v/>
      </c>
      <c r="H417" s="32">
        <f>ROUND(D417*E417*(1-F417),2)</f>
        <v/>
      </c>
      <c r="I417" s="32">
        <f>ROUND(H417*G417,2)</f>
        <v/>
      </c>
    </row>
    <row r="418">
      <c r="A418" s="30" t="inlineStr">
        <is>
          <t>FA-2026-0120</t>
        </is>
      </c>
      <c r="B418" s="30" t="inlineStr">
        <is>
          <t>HO-1</t>
        </is>
      </c>
      <c r="C418" s="30">
        <f>IFERROR(INDEX(Produits!$B:$B,MATCH(B418,Produits!$A:$A,0)),"Réf inconnue")</f>
        <v/>
      </c>
      <c r="D418" s="30" t="n">
        <v>12</v>
      </c>
      <c r="E418" s="32">
        <f>IFERROR(INDEX(Produits!$D:$D,MATCH(B418,Produits!$A:$A,0)),0)</f>
        <v/>
      </c>
      <c r="F418" s="34" t="n">
        <v>0</v>
      </c>
      <c r="G418" s="35">
        <f>IFERROR(INDEX(Produits!$E:$E,MATCH(B418,Produits!$A:$A,0)),0)</f>
        <v/>
      </c>
      <c r="H418" s="32">
        <f>ROUND(D418*E418*(1-F418),2)</f>
        <v/>
      </c>
      <c r="I418" s="32">
        <f>ROUND(H418*G418,2)</f>
        <v/>
      </c>
    </row>
    <row r="419">
      <c r="A419" s="30" t="inlineStr">
        <is>
          <t>FA-2026-0120</t>
        </is>
      </c>
      <c r="B419" s="30" t="inlineStr">
        <is>
          <t>TP-O</t>
        </is>
      </c>
      <c r="C419" s="30">
        <f>IFERROR(INDEX(Produits!$B:$B,MATCH(B419,Produits!$A:$A,0)),"Réf inconnue")</f>
        <v/>
      </c>
      <c r="D419" s="30" t="n">
        <v>15</v>
      </c>
      <c r="E419" s="32">
        <f>IFERROR(INDEX(Produits!$D:$D,MATCH(B419,Produits!$A:$A,0)),0)</f>
        <v/>
      </c>
      <c r="F419" s="34" t="n">
        <v>0</v>
      </c>
      <c r="G419" s="35">
        <f>IFERROR(INDEX(Produits!$E:$E,MATCH(B419,Produits!$A:$A,0)),0)</f>
        <v/>
      </c>
      <c r="H419" s="32">
        <f>ROUND(D419*E419*(1-F419),2)</f>
        <v/>
      </c>
      <c r="I419" s="32">
        <f>ROUND(H419*G419,2)</f>
        <v/>
      </c>
    </row>
    <row r="420">
      <c r="A420" s="30" t="inlineStr">
        <is>
          <t>FA-2026-0120</t>
        </is>
      </c>
      <c r="B420" s="30" t="inlineStr">
        <is>
          <t>CF-D</t>
        </is>
      </c>
      <c r="C420" s="30">
        <f>IFERROR(INDEX(Produits!$B:$B,MATCH(B420,Produits!$A:$A,0)),"Réf inconnue")</f>
        <v/>
      </c>
      <c r="D420" s="30" t="n">
        <v>2</v>
      </c>
      <c r="E420" s="32">
        <f>IFERROR(INDEX(Produits!$D:$D,MATCH(B420,Produits!$A:$A,0)),0)</f>
        <v/>
      </c>
      <c r="F420" s="34" t="n">
        <v>0</v>
      </c>
      <c r="G420" s="35">
        <f>IFERROR(INDEX(Produits!$E:$E,MATCH(B420,Produits!$A:$A,0)),0)</f>
        <v/>
      </c>
      <c r="H420" s="32">
        <f>ROUND(D420*E420*(1-F420),2)</f>
        <v/>
      </c>
      <c r="I420" s="32">
        <f>ROUND(H420*G420,2)</f>
        <v/>
      </c>
    </row>
    <row r="421">
      <c r="A421" s="30" t="inlineStr">
        <is>
          <t>FA-2026-0121</t>
        </is>
      </c>
      <c r="B421" s="30" t="inlineStr">
        <is>
          <t>HO-05</t>
        </is>
      </c>
      <c r="C421" s="30">
        <f>IFERROR(INDEX(Produits!$B:$B,MATCH(B421,Produits!$A:$A,0)),"Réf inconnue")</f>
        <v/>
      </c>
      <c r="D421" s="30" t="n">
        <v>21</v>
      </c>
      <c r="E421" s="32">
        <f>IFERROR(INDEX(Produits!$D:$D,MATCH(B421,Produits!$A:$A,0)),0)</f>
        <v/>
      </c>
      <c r="F421" s="34" t="n">
        <v>0</v>
      </c>
      <c r="G421" s="35">
        <f>IFERROR(INDEX(Produits!$E:$E,MATCH(B421,Produits!$A:$A,0)),0)</f>
        <v/>
      </c>
      <c r="H421" s="32">
        <f>ROUND(D421*E421*(1-F421),2)</f>
        <v/>
      </c>
      <c r="I421" s="32">
        <f>ROUND(H421*G421,2)</f>
        <v/>
      </c>
    </row>
    <row r="422">
      <c r="A422" s="30" t="inlineStr">
        <is>
          <t>FA-2026-0121</t>
        </is>
      </c>
      <c r="B422" s="30" t="inlineStr">
        <is>
          <t>HO-1</t>
        </is>
      </c>
      <c r="C422" s="30">
        <f>IFERROR(INDEX(Produits!$B:$B,MATCH(B422,Produits!$A:$A,0)),"Réf inconnue")</f>
        <v/>
      </c>
      <c r="D422" s="30" t="n">
        <v>24</v>
      </c>
      <c r="E422" s="32">
        <f>IFERROR(INDEX(Produits!$D:$D,MATCH(B422,Produits!$A:$A,0)),0)</f>
        <v/>
      </c>
      <c r="F422" s="34" t="n">
        <v>0</v>
      </c>
      <c r="G422" s="35">
        <f>IFERROR(INDEX(Produits!$E:$E,MATCH(B422,Produits!$A:$A,0)),0)</f>
        <v/>
      </c>
      <c r="H422" s="32">
        <f>ROUND(D422*E422*(1-F422),2)</f>
        <v/>
      </c>
      <c r="I422" s="32">
        <f>ROUND(H422*G422,2)</f>
        <v/>
      </c>
    </row>
    <row r="423">
      <c r="A423" s="30" t="inlineStr">
        <is>
          <t>FA-2026-0121</t>
        </is>
      </c>
      <c r="B423" s="30" t="inlineStr">
        <is>
          <t>SV-O</t>
        </is>
      </c>
      <c r="C423" s="30">
        <f>IFERROR(INDEX(Produits!$B:$B,MATCH(B423,Produits!$A:$A,0)),"Réf inconnue")</f>
        <v/>
      </c>
      <c r="D423" s="30" t="n">
        <v>7</v>
      </c>
      <c r="E423" s="32">
        <f>IFERROR(INDEX(Produits!$D:$D,MATCH(B423,Produits!$A:$A,0)),0)</f>
        <v/>
      </c>
      <c r="F423" s="34" t="n">
        <v>0</v>
      </c>
      <c r="G423" s="35">
        <f>IFERROR(INDEX(Produits!$E:$E,MATCH(B423,Produits!$A:$A,0)),0)</f>
        <v/>
      </c>
      <c r="H423" s="32">
        <f>ROUND(D423*E423*(1-F423),2)</f>
        <v/>
      </c>
      <c r="I423" s="32">
        <f>ROUND(H423*G423,2)</f>
        <v/>
      </c>
    </row>
    <row r="424">
      <c r="A424" s="30" t="inlineStr">
        <is>
          <t>FA-2026-0121</t>
        </is>
      </c>
      <c r="B424" s="30" t="inlineStr">
        <is>
          <t>OL-N</t>
        </is>
      </c>
      <c r="C424" s="30">
        <f>IFERROR(INDEX(Produits!$B:$B,MATCH(B424,Produits!$A:$A,0)),"Réf inconnue")</f>
        <v/>
      </c>
      <c r="D424" s="30" t="n">
        <v>8</v>
      </c>
      <c r="E424" s="32">
        <f>IFERROR(INDEX(Produits!$D:$D,MATCH(B424,Produits!$A:$A,0)),0)</f>
        <v/>
      </c>
      <c r="F424" s="34" t="n">
        <v>0</v>
      </c>
      <c r="G424" s="35">
        <f>IFERROR(INDEX(Produits!$E:$E,MATCH(B424,Produits!$A:$A,0)),0)</f>
        <v/>
      </c>
      <c r="H424" s="32">
        <f>ROUND(D424*E424*(1-F424),2)</f>
        <v/>
      </c>
      <c r="I424" s="32">
        <f>ROUND(H424*G424,2)</f>
        <v/>
      </c>
    </row>
    <row r="425">
      <c r="A425" s="30" t="inlineStr">
        <is>
          <t>FA-2026-0122</t>
        </is>
      </c>
      <c r="B425" s="30" t="inlineStr">
        <is>
          <t>HO-1</t>
        </is>
      </c>
      <c r="C425" s="30">
        <f>IFERROR(INDEX(Produits!$B:$B,MATCH(B425,Produits!$A:$A,0)),"Réf inconnue")</f>
        <v/>
      </c>
      <c r="D425" s="30" t="n">
        <v>70</v>
      </c>
      <c r="E425" s="32">
        <f>IFERROR(INDEX(Produits!$D:$D,MATCH(B425,Produits!$A:$A,0)),0)</f>
        <v/>
      </c>
      <c r="F425" s="34" t="n">
        <v>0.03</v>
      </c>
      <c r="G425" s="35">
        <f>IFERROR(INDEX(Produits!$E:$E,MATCH(B425,Produits!$A:$A,0)),0)</f>
        <v/>
      </c>
      <c r="H425" s="32">
        <f>ROUND(D425*E425*(1-F425),2)</f>
        <v/>
      </c>
      <c r="I425" s="32">
        <f>ROUND(H425*G425,2)</f>
        <v/>
      </c>
    </row>
    <row r="426">
      <c r="A426" s="30" t="inlineStr">
        <is>
          <t>FA-2026-0122</t>
        </is>
      </c>
      <c r="B426" s="30" t="inlineStr">
        <is>
          <t>CF-P</t>
        </is>
      </c>
      <c r="C426" s="30">
        <f>IFERROR(INDEX(Produits!$B:$B,MATCH(B426,Produits!$A:$A,0)),"Réf inconnue")</f>
        <v/>
      </c>
      <c r="D426" s="30" t="n">
        <v>9</v>
      </c>
      <c r="E426" s="32">
        <f>IFERROR(INDEX(Produits!$D:$D,MATCH(B426,Produits!$A:$A,0)),0)</f>
        <v/>
      </c>
      <c r="F426" s="34" t="n">
        <v>0.05</v>
      </c>
      <c r="G426" s="35">
        <f>IFERROR(INDEX(Produits!$E:$E,MATCH(B426,Produits!$A:$A,0)),0)</f>
        <v/>
      </c>
      <c r="H426" s="32">
        <f>ROUND(D426*E426*(1-F426),2)</f>
        <v/>
      </c>
      <c r="I426" s="32">
        <f>ROUND(H426*G426,2)</f>
        <v/>
      </c>
    </row>
    <row r="427">
      <c r="A427" s="30" t="inlineStr">
        <is>
          <t>FA-2026-0122</t>
        </is>
      </c>
      <c r="B427" s="30" t="inlineStr">
        <is>
          <t>TP-O</t>
        </is>
      </c>
      <c r="C427" s="30">
        <f>IFERROR(INDEX(Produits!$B:$B,MATCH(B427,Produits!$A:$A,0)),"Réf inconnue")</f>
        <v/>
      </c>
      <c r="D427" s="30" t="n">
        <v>42</v>
      </c>
      <c r="E427" s="32">
        <f>IFERROR(INDEX(Produits!$D:$D,MATCH(B427,Produits!$A:$A,0)),0)</f>
        <v/>
      </c>
      <c r="F427" s="34" t="n">
        <v>0</v>
      </c>
      <c r="G427" s="35">
        <f>IFERROR(INDEX(Produits!$E:$E,MATCH(B427,Produits!$A:$A,0)),0)</f>
        <v/>
      </c>
      <c r="H427" s="32">
        <f>ROUND(D427*E427*(1-F427),2)</f>
        <v/>
      </c>
      <c r="I427" s="32">
        <f>ROUND(H427*G427,2)</f>
        <v/>
      </c>
    </row>
    <row r="428">
      <c r="A428" s="30" t="inlineStr">
        <is>
          <t>FA-2026-0122</t>
        </is>
      </c>
      <c r="B428" s="30" t="inlineStr">
        <is>
          <t>HO-5</t>
        </is>
      </c>
      <c r="C428" s="30">
        <f>IFERROR(INDEX(Produits!$B:$B,MATCH(B428,Produits!$A:$A,0)),"Réf inconnue")</f>
        <v/>
      </c>
      <c r="D428" s="30" t="n">
        <v>32</v>
      </c>
      <c r="E428" s="32">
        <f>IFERROR(INDEX(Produits!$D:$D,MATCH(B428,Produits!$A:$A,0)),0)</f>
        <v/>
      </c>
      <c r="F428" s="34" t="n">
        <v>0.03</v>
      </c>
      <c r="G428" s="35">
        <f>IFERROR(INDEX(Produits!$E:$E,MATCH(B428,Produits!$A:$A,0)),0)</f>
        <v/>
      </c>
      <c r="H428" s="32">
        <f>ROUND(D428*E428*(1-F428),2)</f>
        <v/>
      </c>
      <c r="I428" s="32">
        <f>ROUND(H428*G428,2)</f>
        <v/>
      </c>
    </row>
    <row r="429">
      <c r="A429" s="30" t="inlineStr">
        <is>
          <t>FA-2026-0122</t>
        </is>
      </c>
      <c r="B429" s="30" t="inlineStr">
        <is>
          <t>OL-N</t>
        </is>
      </c>
      <c r="C429" s="30">
        <f>IFERROR(INDEX(Produits!$B:$B,MATCH(B429,Produits!$A:$A,0)),"Réf inconnue")</f>
        <v/>
      </c>
      <c r="D429" s="30" t="n">
        <v>68</v>
      </c>
      <c r="E429" s="32">
        <f>IFERROR(INDEX(Produits!$D:$D,MATCH(B429,Produits!$A:$A,0)),0)</f>
        <v/>
      </c>
      <c r="F429" s="34" t="n">
        <v>0</v>
      </c>
      <c r="G429" s="35">
        <f>IFERROR(INDEX(Produits!$E:$E,MATCH(B429,Produits!$A:$A,0)),0)</f>
        <v/>
      </c>
      <c r="H429" s="32">
        <f>ROUND(D429*E429*(1-F429),2)</f>
        <v/>
      </c>
      <c r="I429" s="32">
        <f>ROUND(H429*G429,2)</f>
        <v/>
      </c>
    </row>
    <row r="430">
      <c r="A430" s="30" t="inlineStr">
        <is>
          <t>FA-2026-0123</t>
        </is>
      </c>
      <c r="B430" s="30" t="inlineStr">
        <is>
          <t>HO-05</t>
        </is>
      </c>
      <c r="C430" s="30">
        <f>IFERROR(INDEX(Produits!$B:$B,MATCH(B430,Produits!$A:$A,0)),"Réf inconnue")</f>
        <v/>
      </c>
      <c r="D430" s="30" t="n">
        <v>26</v>
      </c>
      <c r="E430" s="32">
        <f>IFERROR(INDEX(Produits!$D:$D,MATCH(B430,Produits!$A:$A,0)),0)</f>
        <v/>
      </c>
      <c r="F430" s="34" t="n">
        <v>0.05</v>
      </c>
      <c r="G430" s="35">
        <f>IFERROR(INDEX(Produits!$E:$E,MATCH(B430,Produits!$A:$A,0)),0)</f>
        <v/>
      </c>
      <c r="H430" s="32">
        <f>ROUND(D430*E430*(1-F430),2)</f>
        <v/>
      </c>
      <c r="I430" s="32">
        <f>ROUND(H430*G430,2)</f>
        <v/>
      </c>
    </row>
    <row r="431">
      <c r="A431" s="30" t="inlineStr">
        <is>
          <t>FA-2026-0123</t>
        </is>
      </c>
      <c r="B431" s="30" t="inlineStr">
        <is>
          <t>TP-O</t>
        </is>
      </c>
      <c r="C431" s="30">
        <f>IFERROR(INDEX(Produits!$B:$B,MATCH(B431,Produits!$A:$A,0)),"Réf inconnue")</f>
        <v/>
      </c>
      <c r="D431" s="30" t="n">
        <v>48</v>
      </c>
      <c r="E431" s="32">
        <f>IFERROR(INDEX(Produits!$D:$D,MATCH(B431,Produits!$A:$A,0)),0)</f>
        <v/>
      </c>
      <c r="F431" s="34" t="n">
        <v>0.05</v>
      </c>
      <c r="G431" s="35">
        <f>IFERROR(INDEX(Produits!$E:$E,MATCH(B431,Produits!$A:$A,0)),0)</f>
        <v/>
      </c>
      <c r="H431" s="32">
        <f>ROUND(D431*E431*(1-F431),2)</f>
        <v/>
      </c>
      <c r="I431" s="32">
        <f>ROUND(H431*G431,2)</f>
        <v/>
      </c>
    </row>
    <row r="432">
      <c r="A432" s="30" t="inlineStr">
        <is>
          <t>FA-2026-0123</t>
        </is>
      </c>
      <c r="B432" s="30" t="inlineStr">
        <is>
          <t>CF-D</t>
        </is>
      </c>
      <c r="C432" s="30">
        <f>IFERROR(INDEX(Produits!$B:$B,MATCH(B432,Produits!$A:$A,0)),"Réf inconnue")</f>
        <v/>
      </c>
      <c r="D432" s="30" t="n">
        <v>11</v>
      </c>
      <c r="E432" s="32">
        <f>IFERROR(INDEX(Produits!$D:$D,MATCH(B432,Produits!$A:$A,0)),0)</f>
        <v/>
      </c>
      <c r="F432" s="34" t="n">
        <v>0.03</v>
      </c>
      <c r="G432" s="35">
        <f>IFERROR(INDEX(Produits!$E:$E,MATCH(B432,Produits!$A:$A,0)),0)</f>
        <v/>
      </c>
      <c r="H432" s="32">
        <f>ROUND(D432*E432*(1-F432),2)</f>
        <v/>
      </c>
      <c r="I432" s="32">
        <f>ROUND(H432*G432,2)</f>
        <v/>
      </c>
    </row>
    <row r="433">
      <c r="A433" s="30" t="inlineStr">
        <is>
          <t>FA-2026-0123</t>
        </is>
      </c>
      <c r="B433" s="30" t="inlineStr">
        <is>
          <t>OL-V</t>
        </is>
      </c>
      <c r="C433" s="30">
        <f>IFERROR(INDEX(Produits!$B:$B,MATCH(B433,Produits!$A:$A,0)),"Réf inconnue")</f>
        <v/>
      </c>
      <c r="D433" s="30" t="n">
        <v>28</v>
      </c>
      <c r="E433" s="32">
        <f>IFERROR(INDEX(Produits!$D:$D,MATCH(B433,Produits!$A:$A,0)),0)</f>
        <v/>
      </c>
      <c r="F433" s="34" t="n">
        <v>0</v>
      </c>
      <c r="G433" s="35">
        <f>IFERROR(INDEX(Produits!$E:$E,MATCH(B433,Produits!$A:$A,0)),0)</f>
        <v/>
      </c>
      <c r="H433" s="32">
        <f>ROUND(D433*E433*(1-F433),2)</f>
        <v/>
      </c>
      <c r="I433" s="32">
        <f>ROUND(H433*G433,2)</f>
        <v/>
      </c>
    </row>
    <row r="434">
      <c r="A434" s="30" t="inlineStr">
        <is>
          <t>FA-2026-0123</t>
        </is>
      </c>
      <c r="B434" s="30" t="inlineStr">
        <is>
          <t>SV-O</t>
        </is>
      </c>
      <c r="C434" s="30">
        <f>IFERROR(INDEX(Produits!$B:$B,MATCH(B434,Produits!$A:$A,0)),"Réf inconnue")</f>
        <v/>
      </c>
      <c r="D434" s="30" t="n">
        <v>28</v>
      </c>
      <c r="E434" s="32">
        <f>IFERROR(INDEX(Produits!$D:$D,MATCH(B434,Produits!$A:$A,0)),0)</f>
        <v/>
      </c>
      <c r="F434" s="34" t="n">
        <v>0</v>
      </c>
      <c r="G434" s="35">
        <f>IFERROR(INDEX(Produits!$E:$E,MATCH(B434,Produits!$A:$A,0)),0)</f>
        <v/>
      </c>
      <c r="H434" s="32">
        <f>ROUND(D434*E434*(1-F434),2)</f>
        <v/>
      </c>
      <c r="I434" s="32">
        <f>ROUND(H434*G434,2)</f>
        <v/>
      </c>
    </row>
    <row r="435">
      <c r="A435" s="30" t="inlineStr">
        <is>
          <t>FA-2026-0124</t>
        </is>
      </c>
      <c r="B435" s="30" t="inlineStr">
        <is>
          <t>OL-V</t>
        </is>
      </c>
      <c r="C435" s="30">
        <f>IFERROR(INDEX(Produits!$B:$B,MATCH(B435,Produits!$A:$A,0)),"Réf inconnue")</f>
        <v/>
      </c>
      <c r="D435" s="30" t="n">
        <v>11</v>
      </c>
      <c r="E435" s="32">
        <f>IFERROR(INDEX(Produits!$D:$D,MATCH(B435,Produits!$A:$A,0)),0)</f>
        <v/>
      </c>
      <c r="F435" s="34" t="n">
        <v>0</v>
      </c>
      <c r="G435" s="35">
        <f>IFERROR(INDEX(Produits!$E:$E,MATCH(B435,Produits!$A:$A,0)),0)</f>
        <v/>
      </c>
      <c r="H435" s="32">
        <f>ROUND(D435*E435*(1-F435),2)</f>
        <v/>
      </c>
      <c r="I435" s="32">
        <f>ROUND(H435*G435,2)</f>
        <v/>
      </c>
    </row>
    <row r="436">
      <c r="A436" s="30" t="inlineStr">
        <is>
          <t>FA-2026-0124</t>
        </is>
      </c>
      <c r="B436" s="30" t="inlineStr">
        <is>
          <t>SV-O</t>
        </is>
      </c>
      <c r="C436" s="30">
        <f>IFERROR(INDEX(Produits!$B:$B,MATCH(B436,Produits!$A:$A,0)),"Réf inconnue")</f>
        <v/>
      </c>
      <c r="D436" s="30" t="n">
        <v>28</v>
      </c>
      <c r="E436" s="32">
        <f>IFERROR(INDEX(Produits!$D:$D,MATCH(B436,Produits!$A:$A,0)),0)</f>
        <v/>
      </c>
      <c r="F436" s="34" t="n">
        <v>0</v>
      </c>
      <c r="G436" s="35">
        <f>IFERROR(INDEX(Produits!$E:$E,MATCH(B436,Produits!$A:$A,0)),0)</f>
        <v/>
      </c>
      <c r="H436" s="32">
        <f>ROUND(D436*E436*(1-F436),2)</f>
        <v/>
      </c>
      <c r="I436" s="32">
        <f>ROUND(H436*G436,2)</f>
        <v/>
      </c>
    </row>
    <row r="437">
      <c r="A437" s="30" t="inlineStr">
        <is>
          <t>FA-2026-0125</t>
        </is>
      </c>
      <c r="B437" s="30" t="inlineStr">
        <is>
          <t>TP-O</t>
        </is>
      </c>
      <c r="C437" s="30">
        <f>IFERROR(INDEX(Produits!$B:$B,MATCH(B437,Produits!$A:$A,0)),"Réf inconnue")</f>
        <v/>
      </c>
      <c r="D437" s="30" t="n">
        <v>4</v>
      </c>
      <c r="E437" s="32">
        <f>IFERROR(INDEX(Produits!$D:$D,MATCH(B437,Produits!$A:$A,0)),0)</f>
        <v/>
      </c>
      <c r="F437" s="34" t="n">
        <v>0</v>
      </c>
      <c r="G437" s="35">
        <f>IFERROR(INDEX(Produits!$E:$E,MATCH(B437,Produits!$A:$A,0)),0)</f>
        <v/>
      </c>
      <c r="H437" s="32">
        <f>ROUND(D437*E437*(1-F437),2)</f>
        <v/>
      </c>
      <c r="I437" s="32">
        <f>ROUND(H437*G437,2)</f>
        <v/>
      </c>
    </row>
    <row r="438">
      <c r="A438" s="30" t="inlineStr">
        <is>
          <t>FA-2026-0125</t>
        </is>
      </c>
      <c r="B438" s="30" t="inlineStr">
        <is>
          <t>OL-N</t>
        </is>
      </c>
      <c r="C438" s="30">
        <f>IFERROR(INDEX(Produits!$B:$B,MATCH(B438,Produits!$A:$A,0)),"Réf inconnue")</f>
        <v/>
      </c>
      <c r="D438" s="30" t="n">
        <v>6</v>
      </c>
      <c r="E438" s="32">
        <f>IFERROR(INDEX(Produits!$D:$D,MATCH(B438,Produits!$A:$A,0)),0)</f>
        <v/>
      </c>
      <c r="F438" s="34" t="n">
        <v>0</v>
      </c>
      <c r="G438" s="35">
        <f>IFERROR(INDEX(Produits!$E:$E,MATCH(B438,Produits!$A:$A,0)),0)</f>
        <v/>
      </c>
      <c r="H438" s="32">
        <f>ROUND(D438*E438*(1-F438),2)</f>
        <v/>
      </c>
      <c r="I438" s="32">
        <f>ROUND(H438*G438,2)</f>
        <v/>
      </c>
    </row>
    <row r="439">
      <c r="A439" s="30" t="inlineStr">
        <is>
          <t>FA-2026-0125</t>
        </is>
      </c>
      <c r="B439" s="30" t="inlineStr">
        <is>
          <t>HO-1</t>
        </is>
      </c>
      <c r="C439" s="30">
        <f>IFERROR(INDEX(Produits!$B:$B,MATCH(B439,Produits!$A:$A,0)),"Réf inconnue")</f>
        <v/>
      </c>
      <c r="D439" s="30" t="n">
        <v>10</v>
      </c>
      <c r="E439" s="32">
        <f>IFERROR(INDEX(Produits!$D:$D,MATCH(B439,Produits!$A:$A,0)),0)</f>
        <v/>
      </c>
      <c r="F439" s="34" t="n">
        <v>0</v>
      </c>
      <c r="G439" s="35">
        <f>IFERROR(INDEX(Produits!$E:$E,MATCH(B439,Produits!$A:$A,0)),0)</f>
        <v/>
      </c>
      <c r="H439" s="32">
        <f>ROUND(D439*E439*(1-F439),2)</f>
        <v/>
      </c>
      <c r="I439" s="32">
        <f>ROUND(H439*G439,2)</f>
        <v/>
      </c>
    </row>
    <row r="440">
      <c r="A440" s="30" t="inlineStr">
        <is>
          <t>FA-2026-0125</t>
        </is>
      </c>
      <c r="B440" s="30" t="inlineStr">
        <is>
          <t>HO-5</t>
        </is>
      </c>
      <c r="C440" s="30">
        <f>IFERROR(INDEX(Produits!$B:$B,MATCH(B440,Produits!$A:$A,0)),"Réf inconnue")</f>
        <v/>
      </c>
      <c r="D440" s="30" t="n">
        <v>5</v>
      </c>
      <c r="E440" s="32">
        <f>IFERROR(INDEX(Produits!$D:$D,MATCH(B440,Produits!$A:$A,0)),0)</f>
        <v/>
      </c>
      <c r="F440" s="34" t="n">
        <v>0</v>
      </c>
      <c r="G440" s="35">
        <f>IFERROR(INDEX(Produits!$E:$E,MATCH(B440,Produits!$A:$A,0)),0)</f>
        <v/>
      </c>
      <c r="H440" s="32">
        <f>ROUND(D440*E440*(1-F440),2)</f>
        <v/>
      </c>
      <c r="I440" s="32">
        <f>ROUND(H440*G440,2)</f>
        <v/>
      </c>
    </row>
    <row r="441">
      <c r="A441" s="30" t="inlineStr">
        <is>
          <t>FA-2026-0126</t>
        </is>
      </c>
      <c r="B441" s="30" t="inlineStr">
        <is>
          <t>CF-P</t>
        </is>
      </c>
      <c r="C441" s="30">
        <f>IFERROR(INDEX(Produits!$B:$B,MATCH(B441,Produits!$A:$A,0)),"Réf inconnue")</f>
        <v/>
      </c>
      <c r="D441" s="30" t="n">
        <v>8</v>
      </c>
      <c r="E441" s="32">
        <f>IFERROR(INDEX(Produits!$D:$D,MATCH(B441,Produits!$A:$A,0)),0)</f>
        <v/>
      </c>
      <c r="F441" s="34" t="n">
        <v>0</v>
      </c>
      <c r="G441" s="35">
        <f>IFERROR(INDEX(Produits!$E:$E,MATCH(B441,Produits!$A:$A,0)),0)</f>
        <v/>
      </c>
      <c r="H441" s="32">
        <f>ROUND(D441*E441*(1-F441),2)</f>
        <v/>
      </c>
      <c r="I441" s="32">
        <f>ROUND(H441*G441,2)</f>
        <v/>
      </c>
    </row>
    <row r="442">
      <c r="A442" s="30" t="inlineStr">
        <is>
          <t>FA-2026-0126</t>
        </is>
      </c>
      <c r="B442" s="30" t="inlineStr">
        <is>
          <t>TP-O</t>
        </is>
      </c>
      <c r="C442" s="30">
        <f>IFERROR(INDEX(Produits!$B:$B,MATCH(B442,Produits!$A:$A,0)),"Réf inconnue")</f>
        <v/>
      </c>
      <c r="D442" s="30" t="n">
        <v>48</v>
      </c>
      <c r="E442" s="32">
        <f>IFERROR(INDEX(Produits!$D:$D,MATCH(B442,Produits!$A:$A,0)),0)</f>
        <v/>
      </c>
      <c r="F442" s="34" t="n">
        <v>0.03</v>
      </c>
      <c r="G442" s="35">
        <f>IFERROR(INDEX(Produits!$E:$E,MATCH(B442,Produits!$A:$A,0)),0)</f>
        <v/>
      </c>
      <c r="H442" s="32">
        <f>ROUND(D442*E442*(1-F442),2)</f>
        <v/>
      </c>
      <c r="I442" s="32">
        <f>ROUND(H442*G442,2)</f>
        <v/>
      </c>
    </row>
    <row r="443">
      <c r="A443" s="30" t="inlineStr">
        <is>
          <t>FA-2026-0126</t>
        </is>
      </c>
      <c r="B443" s="30" t="inlineStr">
        <is>
          <t>SV-O</t>
        </is>
      </c>
      <c r="C443" s="30">
        <f>IFERROR(INDEX(Produits!$B:$B,MATCH(B443,Produits!$A:$A,0)),"Réf inconnue")</f>
        <v/>
      </c>
      <c r="D443" s="30" t="n">
        <v>22</v>
      </c>
      <c r="E443" s="32">
        <f>IFERROR(INDEX(Produits!$D:$D,MATCH(B443,Produits!$A:$A,0)),0)</f>
        <v/>
      </c>
      <c r="F443" s="34" t="n">
        <v>0</v>
      </c>
      <c r="G443" s="35">
        <f>IFERROR(INDEX(Produits!$E:$E,MATCH(B443,Produits!$A:$A,0)),0)</f>
        <v/>
      </c>
      <c r="H443" s="32">
        <f>ROUND(D443*E443*(1-F443),2)</f>
        <v/>
      </c>
      <c r="I443" s="32">
        <f>ROUND(H443*G443,2)</f>
        <v/>
      </c>
    </row>
    <row r="444">
      <c r="A444" s="30" t="inlineStr">
        <is>
          <t>FA-2026-0126</t>
        </is>
      </c>
      <c r="B444" s="30" t="inlineStr">
        <is>
          <t>CF-D</t>
        </is>
      </c>
      <c r="C444" s="30">
        <f>IFERROR(INDEX(Produits!$B:$B,MATCH(B444,Produits!$A:$A,0)),"Réf inconnue")</f>
        <v/>
      </c>
      <c r="D444" s="30" t="n">
        <v>2</v>
      </c>
      <c r="E444" s="32">
        <f>IFERROR(INDEX(Produits!$D:$D,MATCH(B444,Produits!$A:$A,0)),0)</f>
        <v/>
      </c>
      <c r="F444" s="34" t="n">
        <v>0</v>
      </c>
      <c r="G444" s="35">
        <f>IFERROR(INDEX(Produits!$E:$E,MATCH(B444,Produits!$A:$A,0)),0)</f>
        <v/>
      </c>
      <c r="H444" s="32">
        <f>ROUND(D444*E444*(1-F444),2)</f>
        <v/>
      </c>
      <c r="I444" s="32">
        <f>ROUND(H444*G444,2)</f>
        <v/>
      </c>
    </row>
    <row r="445">
      <c r="A445" s="30" t="inlineStr">
        <is>
          <t>FA-2026-0127</t>
        </is>
      </c>
      <c r="B445" s="30" t="inlineStr">
        <is>
          <t>HO-1</t>
        </is>
      </c>
      <c r="C445" s="30">
        <f>IFERROR(INDEX(Produits!$B:$B,MATCH(B445,Produits!$A:$A,0)),"Réf inconnue")</f>
        <v/>
      </c>
      <c r="D445" s="30" t="n">
        <v>32</v>
      </c>
      <c r="E445" s="32">
        <f>IFERROR(INDEX(Produits!$D:$D,MATCH(B445,Produits!$A:$A,0)),0)</f>
        <v/>
      </c>
      <c r="F445" s="34" t="n">
        <v>0</v>
      </c>
      <c r="G445" s="35">
        <f>IFERROR(INDEX(Produits!$E:$E,MATCH(B445,Produits!$A:$A,0)),0)</f>
        <v/>
      </c>
      <c r="H445" s="32">
        <f>ROUND(D445*E445*(1-F445),2)</f>
        <v/>
      </c>
      <c r="I445" s="32">
        <f>ROUND(H445*G445,2)</f>
        <v/>
      </c>
    </row>
    <row r="446">
      <c r="A446" s="30" t="inlineStr">
        <is>
          <t>FA-2026-0127</t>
        </is>
      </c>
      <c r="B446" s="30" t="inlineStr">
        <is>
          <t>HO-5</t>
        </is>
      </c>
      <c r="C446" s="30">
        <f>IFERROR(INDEX(Produits!$B:$B,MATCH(B446,Produits!$A:$A,0)),"Réf inconnue")</f>
        <v/>
      </c>
      <c r="D446" s="30" t="n">
        <v>34</v>
      </c>
      <c r="E446" s="32">
        <f>IFERROR(INDEX(Produits!$D:$D,MATCH(B446,Produits!$A:$A,0)),0)</f>
        <v/>
      </c>
      <c r="F446" s="34" t="n">
        <v>0</v>
      </c>
      <c r="G446" s="35">
        <f>IFERROR(INDEX(Produits!$E:$E,MATCH(B446,Produits!$A:$A,0)),0)</f>
        <v/>
      </c>
      <c r="H446" s="32">
        <f>ROUND(D446*E446*(1-F446),2)</f>
        <v/>
      </c>
      <c r="I446" s="32">
        <f>ROUND(H446*G446,2)</f>
        <v/>
      </c>
    </row>
    <row r="447">
      <c r="A447" s="30" t="inlineStr">
        <is>
          <t>FA-2026-0127</t>
        </is>
      </c>
      <c r="B447" s="30" t="inlineStr">
        <is>
          <t>HO-T3</t>
        </is>
      </c>
      <c r="C447" s="30">
        <f>IFERROR(INDEX(Produits!$B:$B,MATCH(B447,Produits!$A:$A,0)),"Réf inconnue")</f>
        <v/>
      </c>
      <c r="D447" s="30" t="n">
        <v>36</v>
      </c>
      <c r="E447" s="32">
        <f>IFERROR(INDEX(Produits!$D:$D,MATCH(B447,Produits!$A:$A,0)),0)</f>
        <v/>
      </c>
      <c r="F447" s="34" t="n">
        <v>0.03</v>
      </c>
      <c r="G447" s="35">
        <f>IFERROR(INDEX(Produits!$E:$E,MATCH(B447,Produits!$A:$A,0)),0)</f>
        <v/>
      </c>
      <c r="H447" s="32">
        <f>ROUND(D447*E447*(1-F447),2)</f>
        <v/>
      </c>
      <c r="I447" s="32">
        <f>ROUND(H447*G447,2)</f>
        <v/>
      </c>
    </row>
    <row r="448">
      <c r="A448" s="30" t="inlineStr">
        <is>
          <t>FA-2026-0127</t>
        </is>
      </c>
      <c r="B448" s="30" t="inlineStr">
        <is>
          <t>CF-D</t>
        </is>
      </c>
      <c r="C448" s="30">
        <f>IFERROR(INDEX(Produits!$B:$B,MATCH(B448,Produits!$A:$A,0)),"Réf inconnue")</f>
        <v/>
      </c>
      <c r="D448" s="30" t="n">
        <v>10</v>
      </c>
      <c r="E448" s="32">
        <f>IFERROR(INDEX(Produits!$D:$D,MATCH(B448,Produits!$A:$A,0)),0)</f>
        <v/>
      </c>
      <c r="F448" s="34" t="n">
        <v>0</v>
      </c>
      <c r="G448" s="35">
        <f>IFERROR(INDEX(Produits!$E:$E,MATCH(B448,Produits!$A:$A,0)),0)</f>
        <v/>
      </c>
      <c r="H448" s="32">
        <f>ROUND(D448*E448*(1-F448),2)</f>
        <v/>
      </c>
      <c r="I448" s="32">
        <f>ROUND(H448*G448,2)</f>
        <v/>
      </c>
    </row>
    <row r="449">
      <c r="A449" s="30" t="inlineStr">
        <is>
          <t>FA-2026-0128</t>
        </is>
      </c>
      <c r="B449" s="30" t="inlineStr">
        <is>
          <t>HO-5</t>
        </is>
      </c>
      <c r="C449" s="30">
        <f>IFERROR(INDEX(Produits!$B:$B,MATCH(B449,Produits!$A:$A,0)),"Réf inconnue")</f>
        <v/>
      </c>
      <c r="D449" s="30" t="n">
        <v>16</v>
      </c>
      <c r="E449" s="32">
        <f>IFERROR(INDEX(Produits!$D:$D,MATCH(B449,Produits!$A:$A,0)),0)</f>
        <v/>
      </c>
      <c r="F449" s="34" t="n">
        <v>0</v>
      </c>
      <c r="G449" s="35">
        <f>IFERROR(INDEX(Produits!$E:$E,MATCH(B449,Produits!$A:$A,0)),0)</f>
        <v/>
      </c>
      <c r="H449" s="32">
        <f>ROUND(D449*E449*(1-F449),2)</f>
        <v/>
      </c>
      <c r="I449" s="32">
        <f>ROUND(H449*G449,2)</f>
        <v/>
      </c>
    </row>
    <row r="450">
      <c r="A450" s="30" t="inlineStr">
        <is>
          <t>FA-2026-0128</t>
        </is>
      </c>
      <c r="B450" s="30" t="inlineStr">
        <is>
          <t>HO-T3</t>
        </is>
      </c>
      <c r="C450" s="30">
        <f>IFERROR(INDEX(Produits!$B:$B,MATCH(B450,Produits!$A:$A,0)),"Réf inconnue")</f>
        <v/>
      </c>
      <c r="D450" s="30" t="n">
        <v>18</v>
      </c>
      <c r="E450" s="32">
        <f>IFERROR(INDEX(Produits!$D:$D,MATCH(B450,Produits!$A:$A,0)),0)</f>
        <v/>
      </c>
      <c r="F450" s="34" t="n">
        <v>0</v>
      </c>
      <c r="G450" s="35">
        <f>IFERROR(INDEX(Produits!$E:$E,MATCH(B450,Produits!$A:$A,0)),0)</f>
        <v/>
      </c>
      <c r="H450" s="32">
        <f>ROUND(D450*E450*(1-F450),2)</f>
        <v/>
      </c>
      <c r="I450" s="32">
        <f>ROUND(H450*G450,2)</f>
        <v/>
      </c>
    </row>
    <row r="451">
      <c r="A451" s="30" t="inlineStr">
        <is>
          <t>FA-2026-0128</t>
        </is>
      </c>
      <c r="B451" s="30" t="inlineStr">
        <is>
          <t>HO-05</t>
        </is>
      </c>
      <c r="C451" s="30">
        <f>IFERROR(INDEX(Produits!$B:$B,MATCH(B451,Produits!$A:$A,0)),"Réf inconnue")</f>
        <v/>
      </c>
      <c r="D451" s="30" t="n">
        <v>7</v>
      </c>
      <c r="E451" s="32">
        <f>IFERROR(INDEX(Produits!$D:$D,MATCH(B451,Produits!$A:$A,0)),0)</f>
        <v/>
      </c>
      <c r="F451" s="34" t="n">
        <v>0</v>
      </c>
      <c r="G451" s="35">
        <f>IFERROR(INDEX(Produits!$E:$E,MATCH(B451,Produits!$A:$A,0)),0)</f>
        <v/>
      </c>
      <c r="H451" s="32">
        <f>ROUND(D451*E451*(1-F451),2)</f>
        <v/>
      </c>
      <c r="I451" s="32">
        <f>ROUND(H451*G451,2)</f>
        <v/>
      </c>
    </row>
    <row r="452">
      <c r="A452" s="30" t="inlineStr">
        <is>
          <t>FA-2026-0128</t>
        </is>
      </c>
      <c r="B452" s="30" t="inlineStr">
        <is>
          <t>CF-D</t>
        </is>
      </c>
      <c r="C452" s="30">
        <f>IFERROR(INDEX(Produits!$B:$B,MATCH(B452,Produits!$A:$A,0)),"Réf inconnue")</f>
        <v/>
      </c>
      <c r="D452" s="30" t="n">
        <v>5</v>
      </c>
      <c r="E452" s="32">
        <f>IFERROR(INDEX(Produits!$D:$D,MATCH(B452,Produits!$A:$A,0)),0)</f>
        <v/>
      </c>
      <c r="F452" s="34" t="n">
        <v>0</v>
      </c>
      <c r="G452" s="35">
        <f>IFERROR(INDEX(Produits!$E:$E,MATCH(B452,Produits!$A:$A,0)),0)</f>
        <v/>
      </c>
      <c r="H452" s="32">
        <f>ROUND(D452*E452*(1-F452),2)</f>
        <v/>
      </c>
      <c r="I452" s="32">
        <f>ROUND(H452*G452,2)</f>
        <v/>
      </c>
    </row>
    <row r="453">
      <c r="A453" s="30" t="inlineStr">
        <is>
          <t>FA-2026-0129</t>
        </is>
      </c>
      <c r="B453" s="30" t="inlineStr">
        <is>
          <t>CF-P</t>
        </is>
      </c>
      <c r="C453" s="30">
        <f>IFERROR(INDEX(Produits!$B:$B,MATCH(B453,Produits!$A:$A,0)),"Réf inconnue")</f>
        <v/>
      </c>
      <c r="D453" s="30" t="n">
        <v>6</v>
      </c>
      <c r="E453" s="32">
        <f>IFERROR(INDEX(Produits!$D:$D,MATCH(B453,Produits!$A:$A,0)),0)</f>
        <v/>
      </c>
      <c r="F453" s="34" t="n">
        <v>0</v>
      </c>
      <c r="G453" s="35">
        <f>IFERROR(INDEX(Produits!$E:$E,MATCH(B453,Produits!$A:$A,0)),0)</f>
        <v/>
      </c>
      <c r="H453" s="32">
        <f>ROUND(D453*E453*(1-F453),2)</f>
        <v/>
      </c>
      <c r="I453" s="32">
        <f>ROUND(H453*G453,2)</f>
        <v/>
      </c>
    </row>
    <row r="454">
      <c r="A454" s="30" t="inlineStr">
        <is>
          <t>FA-2026-0129</t>
        </is>
      </c>
      <c r="B454" s="30" t="inlineStr">
        <is>
          <t>HO-05</t>
        </is>
      </c>
      <c r="C454" s="30">
        <f>IFERROR(INDEX(Produits!$B:$B,MATCH(B454,Produits!$A:$A,0)),"Réf inconnue")</f>
        <v/>
      </c>
      <c r="D454" s="30" t="n">
        <v>22</v>
      </c>
      <c r="E454" s="32">
        <f>IFERROR(INDEX(Produits!$D:$D,MATCH(B454,Produits!$A:$A,0)),0)</f>
        <v/>
      </c>
      <c r="F454" s="34" t="n">
        <v>0</v>
      </c>
      <c r="G454" s="35">
        <f>IFERROR(INDEX(Produits!$E:$E,MATCH(B454,Produits!$A:$A,0)),0)</f>
        <v/>
      </c>
      <c r="H454" s="32">
        <f>ROUND(D454*E454*(1-F454),2)</f>
        <v/>
      </c>
      <c r="I454" s="32">
        <f>ROUND(H454*G454,2)</f>
        <v/>
      </c>
    </row>
    <row r="455">
      <c r="A455" s="30" t="inlineStr">
        <is>
          <t>FA-2026-0130</t>
        </is>
      </c>
      <c r="B455" s="30" t="inlineStr">
        <is>
          <t>OL-V</t>
        </is>
      </c>
      <c r="C455" s="30">
        <f>IFERROR(INDEX(Produits!$B:$B,MATCH(B455,Produits!$A:$A,0)),"Réf inconnue")</f>
        <v/>
      </c>
      <c r="D455" s="30" t="n">
        <v>27</v>
      </c>
      <c r="E455" s="32">
        <f>IFERROR(INDEX(Produits!$D:$D,MATCH(B455,Produits!$A:$A,0)),0)</f>
        <v/>
      </c>
      <c r="F455" s="34" t="n">
        <v>0</v>
      </c>
      <c r="G455" s="35">
        <f>IFERROR(INDEX(Produits!$E:$E,MATCH(B455,Produits!$A:$A,0)),0)</f>
        <v/>
      </c>
      <c r="H455" s="32">
        <f>ROUND(D455*E455*(1-F455),2)</f>
        <v/>
      </c>
      <c r="I455" s="32">
        <f>ROUND(H455*G455,2)</f>
        <v/>
      </c>
    </row>
    <row r="456">
      <c r="A456" s="30" t="inlineStr">
        <is>
          <t>FA-2026-0130</t>
        </is>
      </c>
      <c r="B456" s="30" t="inlineStr">
        <is>
          <t>SV-O</t>
        </is>
      </c>
      <c r="C456" s="30">
        <f>IFERROR(INDEX(Produits!$B:$B,MATCH(B456,Produits!$A:$A,0)),"Réf inconnue")</f>
        <v/>
      </c>
      <c r="D456" s="30" t="n">
        <v>22</v>
      </c>
      <c r="E456" s="32">
        <f>IFERROR(INDEX(Produits!$D:$D,MATCH(B456,Produits!$A:$A,0)),0)</f>
        <v/>
      </c>
      <c r="F456" s="34" t="n">
        <v>0</v>
      </c>
      <c r="G456" s="35">
        <f>IFERROR(INDEX(Produits!$E:$E,MATCH(B456,Produits!$A:$A,0)),0)</f>
        <v/>
      </c>
      <c r="H456" s="32">
        <f>ROUND(D456*E456*(1-F456),2)</f>
        <v/>
      </c>
      <c r="I456" s="32">
        <f>ROUND(H456*G456,2)</f>
        <v/>
      </c>
    </row>
    <row r="457">
      <c r="A457" s="30" t="inlineStr">
        <is>
          <t>FA-2026-0130</t>
        </is>
      </c>
      <c r="B457" s="30" t="inlineStr">
        <is>
          <t>HO-05</t>
        </is>
      </c>
      <c r="C457" s="30">
        <f>IFERROR(INDEX(Produits!$B:$B,MATCH(B457,Produits!$A:$A,0)),"Réf inconnue")</f>
        <v/>
      </c>
      <c r="D457" s="30" t="n">
        <v>16</v>
      </c>
      <c r="E457" s="32">
        <f>IFERROR(INDEX(Produits!$D:$D,MATCH(B457,Produits!$A:$A,0)),0)</f>
        <v/>
      </c>
      <c r="F457" s="34" t="n">
        <v>0</v>
      </c>
      <c r="G457" s="35">
        <f>IFERROR(INDEX(Produits!$E:$E,MATCH(B457,Produits!$A:$A,0)),0)</f>
        <v/>
      </c>
      <c r="H457" s="32">
        <f>ROUND(D457*E457*(1-F457),2)</f>
        <v/>
      </c>
      <c r="I457" s="32">
        <f>ROUND(H457*G457,2)</f>
        <v/>
      </c>
    </row>
    <row r="458">
      <c r="A458" s="30" t="inlineStr">
        <is>
          <t>FA-2026-0131</t>
        </is>
      </c>
      <c r="B458" s="30" t="inlineStr">
        <is>
          <t>HO-T3</t>
        </is>
      </c>
      <c r="C458" s="30">
        <f>IFERROR(INDEX(Produits!$B:$B,MATCH(B458,Produits!$A:$A,0)),"Réf inconnue")</f>
        <v/>
      </c>
      <c r="D458" s="30" t="n">
        <v>9</v>
      </c>
      <c r="E458" s="32">
        <f>IFERROR(INDEX(Produits!$D:$D,MATCH(B458,Produits!$A:$A,0)),0)</f>
        <v/>
      </c>
      <c r="F458" s="34" t="n">
        <v>0</v>
      </c>
      <c r="G458" s="35">
        <f>IFERROR(INDEX(Produits!$E:$E,MATCH(B458,Produits!$A:$A,0)),0)</f>
        <v/>
      </c>
      <c r="H458" s="32">
        <f>ROUND(D458*E458*(1-F458),2)</f>
        <v/>
      </c>
      <c r="I458" s="32">
        <f>ROUND(H458*G458,2)</f>
        <v/>
      </c>
    </row>
    <row r="459">
      <c r="A459" s="30" t="inlineStr">
        <is>
          <t>FA-2026-0131</t>
        </is>
      </c>
      <c r="B459" s="30" t="inlineStr">
        <is>
          <t>HO-05</t>
        </is>
      </c>
      <c r="C459" s="30">
        <f>IFERROR(INDEX(Produits!$B:$B,MATCH(B459,Produits!$A:$A,0)),"Réf inconnue")</f>
        <v/>
      </c>
      <c r="D459" s="30" t="n">
        <v>9</v>
      </c>
      <c r="E459" s="32">
        <f>IFERROR(INDEX(Produits!$D:$D,MATCH(B459,Produits!$A:$A,0)),0)</f>
        <v/>
      </c>
      <c r="F459" s="34" t="n">
        <v>0</v>
      </c>
      <c r="G459" s="35">
        <f>IFERROR(INDEX(Produits!$E:$E,MATCH(B459,Produits!$A:$A,0)),0)</f>
        <v/>
      </c>
      <c r="H459" s="32">
        <f>ROUND(D459*E459*(1-F459),2)</f>
        <v/>
      </c>
      <c r="I459" s="32">
        <f>ROUND(H459*G459,2)</f>
        <v/>
      </c>
    </row>
    <row r="460">
      <c r="A460" s="30" t="inlineStr">
        <is>
          <t>FA-2026-0131</t>
        </is>
      </c>
      <c r="B460" s="30" t="inlineStr">
        <is>
          <t>CF-D</t>
        </is>
      </c>
      <c r="C460" s="30">
        <f>IFERROR(INDEX(Produits!$B:$B,MATCH(B460,Produits!$A:$A,0)),"Réf inconnue")</f>
        <v/>
      </c>
      <c r="D460" s="30" t="n">
        <v>1</v>
      </c>
      <c r="E460" s="32">
        <f>IFERROR(INDEX(Produits!$D:$D,MATCH(B460,Produits!$A:$A,0)),0)</f>
        <v/>
      </c>
      <c r="F460" s="34" t="n">
        <v>0</v>
      </c>
      <c r="G460" s="35">
        <f>IFERROR(INDEX(Produits!$E:$E,MATCH(B460,Produits!$A:$A,0)),0)</f>
        <v/>
      </c>
      <c r="H460" s="32">
        <f>ROUND(D460*E460*(1-F460),2)</f>
        <v/>
      </c>
      <c r="I460" s="32">
        <f>ROUND(H460*G460,2)</f>
        <v/>
      </c>
    </row>
    <row r="461">
      <c r="A461" s="30" t="inlineStr">
        <is>
          <t>FA-2026-0131</t>
        </is>
      </c>
      <c r="B461" s="30" t="inlineStr">
        <is>
          <t>SV-O</t>
        </is>
      </c>
      <c r="C461" s="30">
        <f>IFERROR(INDEX(Produits!$B:$B,MATCH(B461,Produits!$A:$A,0)),"Réf inconnue")</f>
        <v/>
      </c>
      <c r="D461" s="30" t="n">
        <v>8</v>
      </c>
      <c r="E461" s="32">
        <f>IFERROR(INDEX(Produits!$D:$D,MATCH(B461,Produits!$A:$A,0)),0)</f>
        <v/>
      </c>
      <c r="F461" s="34" t="n">
        <v>0</v>
      </c>
      <c r="G461" s="35">
        <f>IFERROR(INDEX(Produits!$E:$E,MATCH(B461,Produits!$A:$A,0)),0)</f>
        <v/>
      </c>
      <c r="H461" s="32">
        <f>ROUND(D461*E461*(1-F461),2)</f>
        <v/>
      </c>
      <c r="I461" s="32">
        <f>ROUND(H461*G461,2)</f>
        <v/>
      </c>
    </row>
    <row r="462">
      <c r="A462" s="30" t="inlineStr">
        <is>
          <t>FA-2026-0132</t>
        </is>
      </c>
      <c r="B462" s="30" t="inlineStr">
        <is>
          <t>OL-N</t>
        </is>
      </c>
      <c r="C462" s="30">
        <f>IFERROR(INDEX(Produits!$B:$B,MATCH(B462,Produits!$A:$A,0)),"Réf inconnue")</f>
        <v/>
      </c>
      <c r="D462" s="30" t="n">
        <v>9</v>
      </c>
      <c r="E462" s="32">
        <f>IFERROR(INDEX(Produits!$D:$D,MATCH(B462,Produits!$A:$A,0)),0)</f>
        <v/>
      </c>
      <c r="F462" s="34" t="n">
        <v>0</v>
      </c>
      <c r="G462" s="35">
        <f>IFERROR(INDEX(Produits!$E:$E,MATCH(B462,Produits!$A:$A,0)),0)</f>
        <v/>
      </c>
      <c r="H462" s="32">
        <f>ROUND(D462*E462*(1-F462),2)</f>
        <v/>
      </c>
      <c r="I462" s="32">
        <f>ROUND(H462*G462,2)</f>
        <v/>
      </c>
    </row>
    <row r="463">
      <c r="A463" s="30" t="inlineStr">
        <is>
          <t>FA-2026-0132</t>
        </is>
      </c>
      <c r="B463" s="30" t="inlineStr">
        <is>
          <t>HO-1</t>
        </is>
      </c>
      <c r="C463" s="30">
        <f>IFERROR(INDEX(Produits!$B:$B,MATCH(B463,Produits!$A:$A,0)),"Réf inconnue")</f>
        <v/>
      </c>
      <c r="D463" s="30" t="n">
        <v>23</v>
      </c>
      <c r="E463" s="32">
        <f>IFERROR(INDEX(Produits!$D:$D,MATCH(B463,Produits!$A:$A,0)),0)</f>
        <v/>
      </c>
      <c r="F463" s="34" t="n">
        <v>0</v>
      </c>
      <c r="G463" s="35">
        <f>IFERROR(INDEX(Produits!$E:$E,MATCH(B463,Produits!$A:$A,0)),0)</f>
        <v/>
      </c>
      <c r="H463" s="32">
        <f>ROUND(D463*E463*(1-F463),2)</f>
        <v/>
      </c>
      <c r="I463" s="32">
        <f>ROUND(H463*G463,2)</f>
        <v/>
      </c>
    </row>
    <row r="464">
      <c r="A464" s="30" t="inlineStr">
        <is>
          <t>FA-2026-0132</t>
        </is>
      </c>
      <c r="B464" s="30" t="inlineStr">
        <is>
          <t>OL-V</t>
        </is>
      </c>
      <c r="C464" s="30">
        <f>IFERROR(INDEX(Produits!$B:$B,MATCH(B464,Produits!$A:$A,0)),"Réf inconnue")</f>
        <v/>
      </c>
      <c r="D464" s="30" t="n">
        <v>16</v>
      </c>
      <c r="E464" s="32">
        <f>IFERROR(INDEX(Produits!$D:$D,MATCH(B464,Produits!$A:$A,0)),0)</f>
        <v/>
      </c>
      <c r="F464" s="34" t="n">
        <v>0</v>
      </c>
      <c r="G464" s="35">
        <f>IFERROR(INDEX(Produits!$E:$E,MATCH(B464,Produits!$A:$A,0)),0)</f>
        <v/>
      </c>
      <c r="H464" s="32">
        <f>ROUND(D464*E464*(1-F464),2)</f>
        <v/>
      </c>
      <c r="I464" s="32">
        <f>ROUND(H464*G464,2)</f>
        <v/>
      </c>
    </row>
    <row r="465">
      <c r="A465" s="30" t="inlineStr">
        <is>
          <t>FA-2026-0133</t>
        </is>
      </c>
      <c r="B465" s="30" t="inlineStr">
        <is>
          <t>CF-P</t>
        </is>
      </c>
      <c r="C465" s="30">
        <f>IFERROR(INDEX(Produits!$B:$B,MATCH(B465,Produits!$A:$A,0)),"Réf inconnue")</f>
        <v/>
      </c>
      <c r="D465" s="30" t="n">
        <v>5</v>
      </c>
      <c r="E465" s="32">
        <f>IFERROR(INDEX(Produits!$D:$D,MATCH(B465,Produits!$A:$A,0)),0)</f>
        <v/>
      </c>
      <c r="F465" s="34" t="n">
        <v>0.03</v>
      </c>
      <c r="G465" s="35">
        <f>IFERROR(INDEX(Produits!$E:$E,MATCH(B465,Produits!$A:$A,0)),0)</f>
        <v/>
      </c>
      <c r="H465" s="32">
        <f>ROUND(D465*E465*(1-F465),2)</f>
        <v/>
      </c>
      <c r="I465" s="32">
        <f>ROUND(H465*G465,2)</f>
        <v/>
      </c>
    </row>
    <row r="466">
      <c r="A466" s="30" t="inlineStr">
        <is>
          <t>FA-2026-0133</t>
        </is>
      </c>
      <c r="B466" s="30" t="inlineStr">
        <is>
          <t>TP-O</t>
        </is>
      </c>
      <c r="C466" s="30">
        <f>IFERROR(INDEX(Produits!$B:$B,MATCH(B466,Produits!$A:$A,0)),"Réf inconnue")</f>
        <v/>
      </c>
      <c r="D466" s="30" t="n">
        <v>12</v>
      </c>
      <c r="E466" s="32">
        <f>IFERROR(INDEX(Produits!$D:$D,MATCH(B466,Produits!$A:$A,0)),0)</f>
        <v/>
      </c>
      <c r="F466" s="34" t="n">
        <v>0.03</v>
      </c>
      <c r="G466" s="35">
        <f>IFERROR(INDEX(Produits!$E:$E,MATCH(B466,Produits!$A:$A,0)),0)</f>
        <v/>
      </c>
      <c r="H466" s="32">
        <f>ROUND(D466*E466*(1-F466),2)</f>
        <v/>
      </c>
      <c r="I466" s="32">
        <f>ROUND(H466*G466,2)</f>
        <v/>
      </c>
    </row>
    <row r="467">
      <c r="A467" s="30" t="inlineStr">
        <is>
          <t>FA-2026-0133</t>
        </is>
      </c>
      <c r="B467" s="30" t="inlineStr">
        <is>
          <t>HO-1</t>
        </is>
      </c>
      <c r="C467" s="30">
        <f>IFERROR(INDEX(Produits!$B:$B,MATCH(B467,Produits!$A:$A,0)),"Réf inconnue")</f>
        <v/>
      </c>
      <c r="D467" s="30" t="n">
        <v>12</v>
      </c>
      <c r="E467" s="32">
        <f>IFERROR(INDEX(Produits!$D:$D,MATCH(B467,Produits!$A:$A,0)),0)</f>
        <v/>
      </c>
      <c r="F467" s="34" t="n">
        <v>0.05</v>
      </c>
      <c r="G467" s="35">
        <f>IFERROR(INDEX(Produits!$E:$E,MATCH(B467,Produits!$A:$A,0)),0)</f>
        <v/>
      </c>
      <c r="H467" s="32">
        <f>ROUND(D467*E467*(1-F467),2)</f>
        <v/>
      </c>
      <c r="I467" s="32">
        <f>ROUND(H467*G467,2)</f>
        <v/>
      </c>
    </row>
    <row r="468">
      <c r="A468" s="30" t="inlineStr">
        <is>
          <t>FA-2026-0134</t>
        </is>
      </c>
      <c r="B468" s="30" t="inlineStr">
        <is>
          <t>CF-D</t>
        </is>
      </c>
      <c r="C468" s="30">
        <f>IFERROR(INDEX(Produits!$B:$B,MATCH(B468,Produits!$A:$A,0)),"Réf inconnue")</f>
        <v/>
      </c>
      <c r="D468" s="30" t="n">
        <v>2</v>
      </c>
      <c r="E468" s="32">
        <f>IFERROR(INDEX(Produits!$D:$D,MATCH(B468,Produits!$A:$A,0)),0)</f>
        <v/>
      </c>
      <c r="F468" s="34" t="n">
        <v>0</v>
      </c>
      <c r="G468" s="35">
        <f>IFERROR(INDEX(Produits!$E:$E,MATCH(B468,Produits!$A:$A,0)),0)</f>
        <v/>
      </c>
      <c r="H468" s="32">
        <f>ROUND(D468*E468*(1-F468),2)</f>
        <v/>
      </c>
      <c r="I468" s="32">
        <f>ROUND(H468*G468,2)</f>
        <v/>
      </c>
    </row>
    <row r="469">
      <c r="A469" s="30" t="inlineStr">
        <is>
          <t>FA-2026-0134</t>
        </is>
      </c>
      <c r="B469" s="30" t="inlineStr">
        <is>
          <t>HO-5</t>
        </is>
      </c>
      <c r="C469" s="30">
        <f>IFERROR(INDEX(Produits!$B:$B,MATCH(B469,Produits!$A:$A,0)),"Réf inconnue")</f>
        <v/>
      </c>
      <c r="D469" s="30" t="n">
        <v>12</v>
      </c>
      <c r="E469" s="32">
        <f>IFERROR(INDEX(Produits!$D:$D,MATCH(B469,Produits!$A:$A,0)),0)</f>
        <v/>
      </c>
      <c r="F469" s="34" t="n">
        <v>0.05</v>
      </c>
      <c r="G469" s="35">
        <f>IFERROR(INDEX(Produits!$E:$E,MATCH(B469,Produits!$A:$A,0)),0)</f>
        <v/>
      </c>
      <c r="H469" s="32">
        <f>ROUND(D469*E469*(1-F469),2)</f>
        <v/>
      </c>
      <c r="I469" s="32">
        <f>ROUND(H469*G469,2)</f>
        <v/>
      </c>
    </row>
    <row r="470">
      <c r="A470" s="30" t="inlineStr">
        <is>
          <t>FA-2026-0135</t>
        </is>
      </c>
      <c r="B470" s="30" t="inlineStr">
        <is>
          <t>HO-05</t>
        </is>
      </c>
      <c r="C470" s="30">
        <f>IFERROR(INDEX(Produits!$B:$B,MATCH(B470,Produits!$A:$A,0)),"Réf inconnue")</f>
        <v/>
      </c>
      <c r="D470" s="30" t="n">
        <v>12</v>
      </c>
      <c r="E470" s="32">
        <f>IFERROR(INDEX(Produits!$D:$D,MATCH(B470,Produits!$A:$A,0)),0)</f>
        <v/>
      </c>
      <c r="F470" s="34" t="n">
        <v>0</v>
      </c>
      <c r="G470" s="35">
        <f>IFERROR(INDEX(Produits!$E:$E,MATCH(B470,Produits!$A:$A,0)),0)</f>
        <v/>
      </c>
      <c r="H470" s="32">
        <f>ROUND(D470*E470*(1-F470),2)</f>
        <v/>
      </c>
      <c r="I470" s="32">
        <f>ROUND(H470*G470,2)</f>
        <v/>
      </c>
    </row>
    <row r="471">
      <c r="A471" s="30" t="inlineStr">
        <is>
          <t>FA-2026-0135</t>
        </is>
      </c>
      <c r="B471" s="30" t="inlineStr">
        <is>
          <t>HO-1</t>
        </is>
      </c>
      <c r="C471" s="30">
        <f>IFERROR(INDEX(Produits!$B:$B,MATCH(B471,Produits!$A:$A,0)),"Réf inconnue")</f>
        <v/>
      </c>
      <c r="D471" s="30" t="n">
        <v>10</v>
      </c>
      <c r="E471" s="32">
        <f>IFERROR(INDEX(Produits!$D:$D,MATCH(B471,Produits!$A:$A,0)),0)</f>
        <v/>
      </c>
      <c r="F471" s="34" t="n">
        <v>0</v>
      </c>
      <c r="G471" s="35">
        <f>IFERROR(INDEX(Produits!$E:$E,MATCH(B471,Produits!$A:$A,0)),0)</f>
        <v/>
      </c>
      <c r="H471" s="32">
        <f>ROUND(D471*E471*(1-F471),2)</f>
        <v/>
      </c>
      <c r="I471" s="32">
        <f>ROUND(H471*G471,2)</f>
        <v/>
      </c>
    </row>
    <row r="472">
      <c r="A472" s="30" t="inlineStr">
        <is>
          <t>FA-2026-0136</t>
        </is>
      </c>
      <c r="B472" s="30" t="inlineStr">
        <is>
          <t>HO-05</t>
        </is>
      </c>
      <c r="C472" s="30">
        <f>IFERROR(INDEX(Produits!$B:$B,MATCH(B472,Produits!$A:$A,0)),"Réf inconnue")</f>
        <v/>
      </c>
      <c r="D472" s="30" t="n">
        <v>45</v>
      </c>
      <c r="E472" s="32">
        <f>IFERROR(INDEX(Produits!$D:$D,MATCH(B472,Produits!$A:$A,0)),0)</f>
        <v/>
      </c>
      <c r="F472" s="34" t="n">
        <v>0</v>
      </c>
      <c r="G472" s="35">
        <f>IFERROR(INDEX(Produits!$E:$E,MATCH(B472,Produits!$A:$A,0)),0)</f>
        <v/>
      </c>
      <c r="H472" s="32">
        <f>ROUND(D472*E472*(1-F472),2)</f>
        <v/>
      </c>
      <c r="I472" s="32">
        <f>ROUND(H472*G472,2)</f>
        <v/>
      </c>
    </row>
    <row r="473">
      <c r="A473" s="30" t="inlineStr">
        <is>
          <t>FA-2026-0136</t>
        </is>
      </c>
      <c r="B473" s="30" t="inlineStr">
        <is>
          <t>HO-5</t>
        </is>
      </c>
      <c r="C473" s="30">
        <f>IFERROR(INDEX(Produits!$B:$B,MATCH(B473,Produits!$A:$A,0)),"Réf inconnue")</f>
        <v/>
      </c>
      <c r="D473" s="30" t="n">
        <v>49</v>
      </c>
      <c r="E473" s="32">
        <f>IFERROR(INDEX(Produits!$D:$D,MATCH(B473,Produits!$A:$A,0)),0)</f>
        <v/>
      </c>
      <c r="F473" s="34" t="n">
        <v>0</v>
      </c>
      <c r="G473" s="35">
        <f>IFERROR(INDEX(Produits!$E:$E,MATCH(B473,Produits!$A:$A,0)),0)</f>
        <v/>
      </c>
      <c r="H473" s="32">
        <f>ROUND(D473*E473*(1-F473),2)</f>
        <v/>
      </c>
      <c r="I473" s="32">
        <f>ROUND(H473*G473,2)</f>
        <v/>
      </c>
    </row>
    <row r="474">
      <c r="A474" s="30" t="inlineStr">
        <is>
          <t>FA-2026-0136</t>
        </is>
      </c>
      <c r="B474" s="30" t="inlineStr">
        <is>
          <t>CF-D</t>
        </is>
      </c>
      <c r="C474" s="30">
        <f>IFERROR(INDEX(Produits!$B:$B,MATCH(B474,Produits!$A:$A,0)),"Réf inconnue")</f>
        <v/>
      </c>
      <c r="D474" s="30" t="n">
        <v>8</v>
      </c>
      <c r="E474" s="32">
        <f>IFERROR(INDEX(Produits!$D:$D,MATCH(B474,Produits!$A:$A,0)),0)</f>
        <v/>
      </c>
      <c r="F474" s="34" t="n">
        <v>0</v>
      </c>
      <c r="G474" s="35">
        <f>IFERROR(INDEX(Produits!$E:$E,MATCH(B474,Produits!$A:$A,0)),0)</f>
        <v/>
      </c>
      <c r="H474" s="32">
        <f>ROUND(D474*E474*(1-F474),2)</f>
        <v/>
      </c>
      <c r="I474" s="32">
        <f>ROUND(H474*G474,2)</f>
        <v/>
      </c>
    </row>
    <row r="475">
      <c r="A475" s="30" t="inlineStr">
        <is>
          <t>FA-2026-0136</t>
        </is>
      </c>
      <c r="B475" s="30" t="inlineStr">
        <is>
          <t>CF-P</t>
        </is>
      </c>
      <c r="C475" s="30">
        <f>IFERROR(INDEX(Produits!$B:$B,MATCH(B475,Produits!$A:$A,0)),"Réf inconnue")</f>
        <v/>
      </c>
      <c r="D475" s="30" t="n">
        <v>9</v>
      </c>
      <c r="E475" s="32">
        <f>IFERROR(INDEX(Produits!$D:$D,MATCH(B475,Produits!$A:$A,0)),0)</f>
        <v/>
      </c>
      <c r="F475" s="34" t="n">
        <v>0</v>
      </c>
      <c r="G475" s="35">
        <f>IFERROR(INDEX(Produits!$E:$E,MATCH(B475,Produits!$A:$A,0)),0)</f>
        <v/>
      </c>
      <c r="H475" s="32">
        <f>ROUND(D475*E475*(1-F475),2)</f>
        <v/>
      </c>
      <c r="I475" s="32">
        <f>ROUND(H475*G475,2)</f>
        <v/>
      </c>
    </row>
    <row r="476">
      <c r="A476" s="30" t="inlineStr">
        <is>
          <t>FA-2026-0137</t>
        </is>
      </c>
      <c r="B476" s="30" t="inlineStr">
        <is>
          <t>HO-T3</t>
        </is>
      </c>
      <c r="C476" s="30">
        <f>IFERROR(INDEX(Produits!$B:$B,MATCH(B476,Produits!$A:$A,0)),"Réf inconnue")</f>
        <v/>
      </c>
      <c r="D476" s="30" t="n">
        <v>48</v>
      </c>
      <c r="E476" s="32">
        <f>IFERROR(INDEX(Produits!$D:$D,MATCH(B476,Produits!$A:$A,0)),0)</f>
        <v/>
      </c>
      <c r="F476" s="34" t="n">
        <v>0</v>
      </c>
      <c r="G476" s="35">
        <f>IFERROR(INDEX(Produits!$E:$E,MATCH(B476,Produits!$A:$A,0)),0)</f>
        <v/>
      </c>
      <c r="H476" s="32">
        <f>ROUND(D476*E476*(1-F476),2)</f>
        <v/>
      </c>
      <c r="I476" s="32">
        <f>ROUND(H476*G476,2)</f>
        <v/>
      </c>
    </row>
    <row r="477">
      <c r="A477" s="30" t="inlineStr">
        <is>
          <t>FA-2026-0137</t>
        </is>
      </c>
      <c r="B477" s="30" t="inlineStr">
        <is>
          <t>OL-N</t>
        </is>
      </c>
      <c r="C477" s="30">
        <f>IFERROR(INDEX(Produits!$B:$B,MATCH(B477,Produits!$A:$A,0)),"Réf inconnue")</f>
        <v/>
      </c>
      <c r="D477" s="30" t="n">
        <v>70</v>
      </c>
      <c r="E477" s="32">
        <f>IFERROR(INDEX(Produits!$D:$D,MATCH(B477,Produits!$A:$A,0)),0)</f>
        <v/>
      </c>
      <c r="F477" s="34" t="n">
        <v>0.05</v>
      </c>
      <c r="G477" s="35">
        <f>IFERROR(INDEX(Produits!$E:$E,MATCH(B477,Produits!$A:$A,0)),0)</f>
        <v/>
      </c>
      <c r="H477" s="32">
        <f>ROUND(D477*E477*(1-F477),2)</f>
        <v/>
      </c>
      <c r="I477" s="32">
        <f>ROUND(H477*G477,2)</f>
        <v/>
      </c>
    </row>
    <row r="478">
      <c r="A478" s="30" t="inlineStr">
        <is>
          <t>FA-2026-0137</t>
        </is>
      </c>
      <c r="B478" s="30" t="inlineStr">
        <is>
          <t>HO-1</t>
        </is>
      </c>
      <c r="C478" s="30">
        <f>IFERROR(INDEX(Produits!$B:$B,MATCH(B478,Produits!$A:$A,0)),"Réf inconnue")</f>
        <v/>
      </c>
      <c r="D478" s="30" t="n">
        <v>30</v>
      </c>
      <c r="E478" s="32">
        <f>IFERROR(INDEX(Produits!$D:$D,MATCH(B478,Produits!$A:$A,0)),0)</f>
        <v/>
      </c>
      <c r="F478" s="34" t="n">
        <v>0</v>
      </c>
      <c r="G478" s="35">
        <f>IFERROR(INDEX(Produits!$E:$E,MATCH(B478,Produits!$A:$A,0)),0)</f>
        <v/>
      </c>
      <c r="H478" s="32">
        <f>ROUND(D478*E478*(1-F478),2)</f>
        <v/>
      </c>
      <c r="I478" s="32">
        <f>ROUND(H478*G478,2)</f>
        <v/>
      </c>
    </row>
    <row r="479">
      <c r="A479" s="30" t="inlineStr">
        <is>
          <t>FA-2026-0137</t>
        </is>
      </c>
      <c r="B479" s="30" t="inlineStr">
        <is>
          <t>OL-V</t>
        </is>
      </c>
      <c r="C479" s="30">
        <f>IFERROR(INDEX(Produits!$B:$B,MATCH(B479,Produits!$A:$A,0)),"Réf inconnue")</f>
        <v/>
      </c>
      <c r="D479" s="30" t="n">
        <v>64</v>
      </c>
      <c r="E479" s="32">
        <f>IFERROR(INDEX(Produits!$D:$D,MATCH(B479,Produits!$A:$A,0)),0)</f>
        <v/>
      </c>
      <c r="F479" s="34" t="n">
        <v>0.03</v>
      </c>
      <c r="G479" s="35">
        <f>IFERROR(INDEX(Produits!$E:$E,MATCH(B479,Produits!$A:$A,0)),0)</f>
        <v/>
      </c>
      <c r="H479" s="32">
        <f>ROUND(D479*E479*(1-F479),2)</f>
        <v/>
      </c>
      <c r="I479" s="32">
        <f>ROUND(H479*G479,2)</f>
        <v/>
      </c>
    </row>
    <row r="480">
      <c r="A480" s="30" t="inlineStr">
        <is>
          <t>FA-2026-0137</t>
        </is>
      </c>
      <c r="B480" s="30" t="inlineStr">
        <is>
          <t>SV-O</t>
        </is>
      </c>
      <c r="C480" s="30">
        <f>IFERROR(INDEX(Produits!$B:$B,MATCH(B480,Produits!$A:$A,0)),"Réf inconnue")</f>
        <v/>
      </c>
      <c r="D480" s="30" t="n">
        <v>28</v>
      </c>
      <c r="E480" s="32">
        <f>IFERROR(INDEX(Produits!$D:$D,MATCH(B480,Produits!$A:$A,0)),0)</f>
        <v/>
      </c>
      <c r="F480" s="34" t="n">
        <v>0</v>
      </c>
      <c r="G480" s="35">
        <f>IFERROR(INDEX(Produits!$E:$E,MATCH(B480,Produits!$A:$A,0)),0)</f>
        <v/>
      </c>
      <c r="H480" s="32">
        <f>ROUND(D480*E480*(1-F480),2)</f>
        <v/>
      </c>
      <c r="I480" s="32">
        <f>ROUND(H480*G480,2)</f>
        <v/>
      </c>
    </row>
    <row r="481">
      <c r="A481" s="30" t="inlineStr">
        <is>
          <t>FA-2026-0138</t>
        </is>
      </c>
      <c r="B481" s="30" t="inlineStr">
        <is>
          <t>HO-1</t>
        </is>
      </c>
      <c r="C481" s="30">
        <f>IFERROR(INDEX(Produits!$B:$B,MATCH(B481,Produits!$A:$A,0)),"Réf inconnue")</f>
        <v/>
      </c>
      <c r="D481" s="30" t="n">
        <v>31</v>
      </c>
      <c r="E481" s="32">
        <f>IFERROR(INDEX(Produits!$D:$D,MATCH(B481,Produits!$A:$A,0)),0)</f>
        <v/>
      </c>
      <c r="F481" s="34" t="n">
        <v>0</v>
      </c>
      <c r="G481" s="35">
        <f>IFERROR(INDEX(Produits!$E:$E,MATCH(B481,Produits!$A:$A,0)),0)</f>
        <v/>
      </c>
      <c r="H481" s="32">
        <f>ROUND(D481*E481*(1-F481),2)</f>
        <v/>
      </c>
      <c r="I481" s="32">
        <f>ROUND(H481*G481,2)</f>
        <v/>
      </c>
    </row>
    <row r="482">
      <c r="A482" s="30" t="inlineStr">
        <is>
          <t>FA-2026-0138</t>
        </is>
      </c>
      <c r="B482" s="30" t="inlineStr">
        <is>
          <t>HO-T3</t>
        </is>
      </c>
      <c r="C482" s="30">
        <f>IFERROR(INDEX(Produits!$B:$B,MATCH(B482,Produits!$A:$A,0)),"Réf inconnue")</f>
        <v/>
      </c>
      <c r="D482" s="30" t="n">
        <v>18</v>
      </c>
      <c r="E482" s="32">
        <f>IFERROR(INDEX(Produits!$D:$D,MATCH(B482,Produits!$A:$A,0)),0)</f>
        <v/>
      </c>
      <c r="F482" s="34" t="n">
        <v>0</v>
      </c>
      <c r="G482" s="35">
        <f>IFERROR(INDEX(Produits!$E:$E,MATCH(B482,Produits!$A:$A,0)),0)</f>
        <v/>
      </c>
      <c r="H482" s="32">
        <f>ROUND(D482*E482*(1-F482),2)</f>
        <v/>
      </c>
      <c r="I482" s="32">
        <f>ROUND(H482*G482,2)</f>
        <v/>
      </c>
    </row>
    <row r="483">
      <c r="A483" s="30" t="inlineStr">
        <is>
          <t>FA-2026-0138</t>
        </is>
      </c>
      <c r="B483" s="30" t="inlineStr">
        <is>
          <t>OL-N</t>
        </is>
      </c>
      <c r="C483" s="30">
        <f>IFERROR(INDEX(Produits!$B:$B,MATCH(B483,Produits!$A:$A,0)),"Réf inconnue")</f>
        <v/>
      </c>
      <c r="D483" s="30" t="n">
        <v>27</v>
      </c>
      <c r="E483" s="32">
        <f>IFERROR(INDEX(Produits!$D:$D,MATCH(B483,Produits!$A:$A,0)),0)</f>
        <v/>
      </c>
      <c r="F483" s="34" t="n">
        <v>0</v>
      </c>
      <c r="G483" s="35">
        <f>IFERROR(INDEX(Produits!$E:$E,MATCH(B483,Produits!$A:$A,0)),0)</f>
        <v/>
      </c>
      <c r="H483" s="32">
        <f>ROUND(D483*E483*(1-F483),2)</f>
        <v/>
      </c>
      <c r="I483" s="32">
        <f>ROUND(H483*G483,2)</f>
        <v/>
      </c>
    </row>
    <row r="484">
      <c r="A484" s="30" t="inlineStr">
        <is>
          <t>FA-2026-0138</t>
        </is>
      </c>
      <c r="B484" s="30" t="inlineStr">
        <is>
          <t>HO-05</t>
        </is>
      </c>
      <c r="C484" s="30">
        <f>IFERROR(INDEX(Produits!$B:$B,MATCH(B484,Produits!$A:$A,0)),"Réf inconnue")</f>
        <v/>
      </c>
      <c r="D484" s="30" t="n">
        <v>8</v>
      </c>
      <c r="E484" s="32">
        <f>IFERROR(INDEX(Produits!$D:$D,MATCH(B484,Produits!$A:$A,0)),0)</f>
        <v/>
      </c>
      <c r="F484" s="34" t="n">
        <v>0</v>
      </c>
      <c r="G484" s="35">
        <f>IFERROR(INDEX(Produits!$E:$E,MATCH(B484,Produits!$A:$A,0)),0)</f>
        <v/>
      </c>
      <c r="H484" s="32">
        <f>ROUND(D484*E484*(1-F484),2)</f>
        <v/>
      </c>
      <c r="I484" s="32">
        <f>ROUND(H484*G484,2)</f>
        <v/>
      </c>
    </row>
    <row r="485">
      <c r="A485" s="30" t="inlineStr">
        <is>
          <t>FA-2026-0138</t>
        </is>
      </c>
      <c r="B485" s="30" t="inlineStr">
        <is>
          <t>CF-D</t>
        </is>
      </c>
      <c r="C485" s="30">
        <f>IFERROR(INDEX(Produits!$B:$B,MATCH(B485,Produits!$A:$A,0)),"Réf inconnue")</f>
        <v/>
      </c>
      <c r="D485" s="30" t="n">
        <v>2</v>
      </c>
      <c r="E485" s="32">
        <f>IFERROR(INDEX(Produits!$D:$D,MATCH(B485,Produits!$A:$A,0)),0)</f>
        <v/>
      </c>
      <c r="F485" s="34" t="n">
        <v>0</v>
      </c>
      <c r="G485" s="35">
        <f>IFERROR(INDEX(Produits!$E:$E,MATCH(B485,Produits!$A:$A,0)),0)</f>
        <v/>
      </c>
      <c r="H485" s="32">
        <f>ROUND(D485*E485*(1-F485),2)</f>
        <v/>
      </c>
      <c r="I485" s="32">
        <f>ROUND(H485*G485,2)</f>
        <v/>
      </c>
    </row>
    <row r="486">
      <c r="A486" s="30" t="inlineStr">
        <is>
          <t>FA-2026-0139</t>
        </is>
      </c>
      <c r="B486" s="30" t="inlineStr">
        <is>
          <t>CF-P</t>
        </is>
      </c>
      <c r="C486" s="30">
        <f>IFERROR(INDEX(Produits!$B:$B,MATCH(B486,Produits!$A:$A,0)),"Réf inconnue")</f>
        <v/>
      </c>
      <c r="D486" s="30" t="n">
        <v>7</v>
      </c>
      <c r="E486" s="32">
        <f>IFERROR(INDEX(Produits!$D:$D,MATCH(B486,Produits!$A:$A,0)),0)</f>
        <v/>
      </c>
      <c r="F486" s="34" t="n">
        <v>0.05</v>
      </c>
      <c r="G486" s="35">
        <f>IFERROR(INDEX(Produits!$E:$E,MATCH(B486,Produits!$A:$A,0)),0)</f>
        <v/>
      </c>
      <c r="H486" s="32">
        <f>ROUND(D486*E486*(1-F486),2)</f>
        <v/>
      </c>
      <c r="I486" s="32">
        <f>ROUND(H486*G486,2)</f>
        <v/>
      </c>
    </row>
    <row r="487">
      <c r="A487" s="30" t="inlineStr">
        <is>
          <t>FA-2026-0139</t>
        </is>
      </c>
      <c r="B487" s="30" t="inlineStr">
        <is>
          <t>SV-O</t>
        </is>
      </c>
      <c r="C487" s="30">
        <f>IFERROR(INDEX(Produits!$B:$B,MATCH(B487,Produits!$A:$A,0)),"Réf inconnue")</f>
        <v/>
      </c>
      <c r="D487" s="30" t="n">
        <v>34</v>
      </c>
      <c r="E487" s="32">
        <f>IFERROR(INDEX(Produits!$D:$D,MATCH(B487,Produits!$A:$A,0)),0)</f>
        <v/>
      </c>
      <c r="F487" s="34" t="n">
        <v>0.03</v>
      </c>
      <c r="G487" s="35">
        <f>IFERROR(INDEX(Produits!$E:$E,MATCH(B487,Produits!$A:$A,0)),0)</f>
        <v/>
      </c>
      <c r="H487" s="32">
        <f>ROUND(D487*E487*(1-F487),2)</f>
        <v/>
      </c>
      <c r="I487" s="32">
        <f>ROUND(H487*G487,2)</f>
        <v/>
      </c>
    </row>
    <row r="488">
      <c r="A488" s="30" t="inlineStr">
        <is>
          <t>FA-2026-0139</t>
        </is>
      </c>
      <c r="B488" s="30" t="inlineStr">
        <is>
          <t>HO-05</t>
        </is>
      </c>
      <c r="C488" s="30">
        <f>IFERROR(INDEX(Produits!$B:$B,MATCH(B488,Produits!$A:$A,0)),"Réf inconnue")</f>
        <v/>
      </c>
      <c r="D488" s="30" t="n">
        <v>15</v>
      </c>
      <c r="E488" s="32">
        <f>IFERROR(INDEX(Produits!$D:$D,MATCH(B488,Produits!$A:$A,0)),0)</f>
        <v/>
      </c>
      <c r="F488" s="34" t="n">
        <v>0.03</v>
      </c>
      <c r="G488" s="35">
        <f>IFERROR(INDEX(Produits!$E:$E,MATCH(B488,Produits!$A:$A,0)),0)</f>
        <v/>
      </c>
      <c r="H488" s="32">
        <f>ROUND(D488*E488*(1-F488),2)</f>
        <v/>
      </c>
      <c r="I488" s="32">
        <f>ROUND(H488*G488,2)</f>
        <v/>
      </c>
    </row>
    <row r="489">
      <c r="A489" s="30" t="inlineStr">
        <is>
          <t>FA-2026-0139</t>
        </is>
      </c>
      <c r="B489" s="30" t="inlineStr">
        <is>
          <t>HO-1</t>
        </is>
      </c>
      <c r="C489" s="30">
        <f>IFERROR(INDEX(Produits!$B:$B,MATCH(B489,Produits!$A:$A,0)),"Réf inconnue")</f>
        <v/>
      </c>
      <c r="D489" s="30" t="n">
        <v>17</v>
      </c>
      <c r="E489" s="32">
        <f>IFERROR(INDEX(Produits!$D:$D,MATCH(B489,Produits!$A:$A,0)),0)</f>
        <v/>
      </c>
      <c r="F489" s="34" t="n">
        <v>0</v>
      </c>
      <c r="G489" s="35">
        <f>IFERROR(INDEX(Produits!$E:$E,MATCH(B489,Produits!$A:$A,0)),0)</f>
        <v/>
      </c>
      <c r="H489" s="32">
        <f>ROUND(D489*E489*(1-F489),2)</f>
        <v/>
      </c>
      <c r="I489" s="32">
        <f>ROUND(H489*G489,2)</f>
        <v/>
      </c>
    </row>
    <row r="490">
      <c r="A490" s="30" t="inlineStr">
        <is>
          <t>FA-2026-0140</t>
        </is>
      </c>
      <c r="B490" s="30" t="inlineStr">
        <is>
          <t>OL-V</t>
        </is>
      </c>
      <c r="C490" s="30">
        <f>IFERROR(INDEX(Produits!$B:$B,MATCH(B490,Produits!$A:$A,0)),"Réf inconnue")</f>
        <v/>
      </c>
      <c r="D490" s="30" t="n">
        <v>12</v>
      </c>
      <c r="E490" s="32">
        <f>IFERROR(INDEX(Produits!$D:$D,MATCH(B490,Produits!$A:$A,0)),0)</f>
        <v/>
      </c>
      <c r="F490" s="34" t="n">
        <v>0</v>
      </c>
      <c r="G490" s="35">
        <f>IFERROR(INDEX(Produits!$E:$E,MATCH(B490,Produits!$A:$A,0)),0)</f>
        <v/>
      </c>
      <c r="H490" s="32">
        <f>ROUND(D490*E490*(1-F490),2)</f>
        <v/>
      </c>
      <c r="I490" s="32">
        <f>ROUND(H490*G490,2)</f>
        <v/>
      </c>
    </row>
    <row r="491">
      <c r="A491" s="30" t="inlineStr">
        <is>
          <t>FA-2026-0140</t>
        </is>
      </c>
      <c r="B491" s="30" t="inlineStr">
        <is>
          <t>HO-T3</t>
        </is>
      </c>
      <c r="C491" s="30">
        <f>IFERROR(INDEX(Produits!$B:$B,MATCH(B491,Produits!$A:$A,0)),"Réf inconnue")</f>
        <v/>
      </c>
      <c r="D491" s="30" t="n">
        <v>56</v>
      </c>
      <c r="E491" s="32">
        <f>IFERROR(INDEX(Produits!$D:$D,MATCH(B491,Produits!$A:$A,0)),0)</f>
        <v/>
      </c>
      <c r="F491" s="34" t="n">
        <v>0</v>
      </c>
      <c r="G491" s="35">
        <f>IFERROR(INDEX(Produits!$E:$E,MATCH(B491,Produits!$A:$A,0)),0)</f>
        <v/>
      </c>
      <c r="H491" s="32">
        <f>ROUND(D491*E491*(1-F491),2)</f>
        <v/>
      </c>
      <c r="I491" s="32">
        <f>ROUND(H491*G491,2)</f>
        <v/>
      </c>
    </row>
    <row r="492">
      <c r="A492" s="30" t="inlineStr">
        <is>
          <t>FA-2026-0140</t>
        </is>
      </c>
      <c r="B492" s="30" t="inlineStr">
        <is>
          <t>SV-O</t>
        </is>
      </c>
      <c r="C492" s="30">
        <f>IFERROR(INDEX(Produits!$B:$B,MATCH(B492,Produits!$A:$A,0)),"Réf inconnue")</f>
        <v/>
      </c>
      <c r="D492" s="30" t="n">
        <v>10</v>
      </c>
      <c r="E492" s="32">
        <f>IFERROR(INDEX(Produits!$D:$D,MATCH(B492,Produits!$A:$A,0)),0)</f>
        <v/>
      </c>
      <c r="F492" s="34" t="n">
        <v>0</v>
      </c>
      <c r="G492" s="35">
        <f>IFERROR(INDEX(Produits!$E:$E,MATCH(B492,Produits!$A:$A,0)),0)</f>
        <v/>
      </c>
      <c r="H492" s="32">
        <f>ROUND(D492*E492*(1-F492),2)</f>
        <v/>
      </c>
      <c r="I492" s="32">
        <f>ROUND(H492*G492,2)</f>
        <v/>
      </c>
    </row>
    <row r="493">
      <c r="A493" s="30" t="inlineStr">
        <is>
          <t>FA-2026-0140</t>
        </is>
      </c>
      <c r="B493" s="30" t="inlineStr">
        <is>
          <t>OL-N</t>
        </is>
      </c>
      <c r="C493" s="30">
        <f>IFERROR(INDEX(Produits!$B:$B,MATCH(B493,Produits!$A:$A,0)),"Réf inconnue")</f>
        <v/>
      </c>
      <c r="D493" s="30" t="n">
        <v>49</v>
      </c>
      <c r="E493" s="32">
        <f>IFERROR(INDEX(Produits!$D:$D,MATCH(B493,Produits!$A:$A,0)),0)</f>
        <v/>
      </c>
      <c r="F493" s="34" t="n">
        <v>0</v>
      </c>
      <c r="G493" s="35">
        <f>IFERROR(INDEX(Produits!$E:$E,MATCH(B493,Produits!$A:$A,0)),0)</f>
        <v/>
      </c>
      <c r="H493" s="32">
        <f>ROUND(D493*E493*(1-F493),2)</f>
        <v/>
      </c>
      <c r="I493" s="32">
        <f>ROUND(H493*G493,2)</f>
        <v/>
      </c>
    </row>
    <row r="494">
      <c r="A494" s="30" t="inlineStr">
        <is>
          <t>FA-2026-0140</t>
        </is>
      </c>
      <c r="B494" s="30" t="inlineStr">
        <is>
          <t>TP-O</t>
        </is>
      </c>
      <c r="C494" s="30">
        <f>IFERROR(INDEX(Produits!$B:$B,MATCH(B494,Produits!$A:$A,0)),"Réf inconnue")</f>
        <v/>
      </c>
      <c r="D494" s="30" t="n">
        <v>12</v>
      </c>
      <c r="E494" s="32">
        <f>IFERROR(INDEX(Produits!$D:$D,MATCH(B494,Produits!$A:$A,0)),0)</f>
        <v/>
      </c>
      <c r="F494" s="34" t="n">
        <v>0</v>
      </c>
      <c r="G494" s="35">
        <f>IFERROR(INDEX(Produits!$E:$E,MATCH(B494,Produits!$A:$A,0)),0)</f>
        <v/>
      </c>
      <c r="H494" s="32">
        <f>ROUND(D494*E494*(1-F494),2)</f>
        <v/>
      </c>
      <c r="I494" s="32">
        <f>ROUND(H494*G494,2)</f>
        <v/>
      </c>
    </row>
    <row r="495">
      <c r="A495" s="30" t="inlineStr">
        <is>
          <t>FA-2026-0141</t>
        </is>
      </c>
      <c r="B495" s="30" t="inlineStr">
        <is>
          <t>OL-V</t>
        </is>
      </c>
      <c r="C495" s="30">
        <f>IFERROR(INDEX(Produits!$B:$B,MATCH(B495,Produits!$A:$A,0)),"Réf inconnue")</f>
        <v/>
      </c>
      <c r="D495" s="30" t="n">
        <v>14</v>
      </c>
      <c r="E495" s="32">
        <f>IFERROR(INDEX(Produits!$D:$D,MATCH(B495,Produits!$A:$A,0)),0)</f>
        <v/>
      </c>
      <c r="F495" s="34" t="n">
        <v>0</v>
      </c>
      <c r="G495" s="35">
        <f>IFERROR(INDEX(Produits!$E:$E,MATCH(B495,Produits!$A:$A,0)),0)</f>
        <v/>
      </c>
      <c r="H495" s="32">
        <f>ROUND(D495*E495*(1-F495),2)</f>
        <v/>
      </c>
      <c r="I495" s="32">
        <f>ROUND(H495*G495,2)</f>
        <v/>
      </c>
    </row>
    <row r="496">
      <c r="A496" s="30" t="inlineStr">
        <is>
          <t>FA-2026-0141</t>
        </is>
      </c>
      <c r="B496" s="30" t="inlineStr">
        <is>
          <t>HO-T3</t>
        </is>
      </c>
      <c r="C496" s="30">
        <f>IFERROR(INDEX(Produits!$B:$B,MATCH(B496,Produits!$A:$A,0)),"Réf inconnue")</f>
        <v/>
      </c>
      <c r="D496" s="30" t="n">
        <v>10</v>
      </c>
      <c r="E496" s="32">
        <f>IFERROR(INDEX(Produits!$D:$D,MATCH(B496,Produits!$A:$A,0)),0)</f>
        <v/>
      </c>
      <c r="F496" s="34" t="n">
        <v>0</v>
      </c>
      <c r="G496" s="35">
        <f>IFERROR(INDEX(Produits!$E:$E,MATCH(B496,Produits!$A:$A,0)),0)</f>
        <v/>
      </c>
      <c r="H496" s="32">
        <f>ROUND(D496*E496*(1-F496),2)</f>
        <v/>
      </c>
      <c r="I496" s="32">
        <f>ROUND(H496*G496,2)</f>
        <v/>
      </c>
    </row>
    <row r="497">
      <c r="A497" s="30" t="inlineStr">
        <is>
          <t>FA-2026-0142</t>
        </is>
      </c>
      <c r="B497" s="30" t="inlineStr">
        <is>
          <t>HO-1</t>
        </is>
      </c>
      <c r="C497" s="30">
        <f>IFERROR(INDEX(Produits!$B:$B,MATCH(B497,Produits!$A:$A,0)),"Réf inconnue")</f>
        <v/>
      </c>
      <c r="D497" s="30" t="n">
        <v>5</v>
      </c>
      <c r="E497" s="32">
        <f>IFERROR(INDEX(Produits!$D:$D,MATCH(B497,Produits!$A:$A,0)),0)</f>
        <v/>
      </c>
      <c r="F497" s="34" t="n">
        <v>0</v>
      </c>
      <c r="G497" s="35">
        <f>IFERROR(INDEX(Produits!$E:$E,MATCH(B497,Produits!$A:$A,0)),0)</f>
        <v/>
      </c>
      <c r="H497" s="32">
        <f>ROUND(D497*E497*(1-F497),2)</f>
        <v/>
      </c>
      <c r="I497" s="32">
        <f>ROUND(H497*G497,2)</f>
        <v/>
      </c>
    </row>
    <row r="498">
      <c r="A498" s="30" t="inlineStr">
        <is>
          <t>FA-2026-0142</t>
        </is>
      </c>
      <c r="B498" s="30" t="inlineStr">
        <is>
          <t>CF-P</t>
        </is>
      </c>
      <c r="C498" s="30">
        <f>IFERROR(INDEX(Produits!$B:$B,MATCH(B498,Produits!$A:$A,0)),"Réf inconnue")</f>
        <v/>
      </c>
      <c r="D498" s="30" t="n">
        <v>1</v>
      </c>
      <c r="E498" s="32">
        <f>IFERROR(INDEX(Produits!$D:$D,MATCH(B498,Produits!$A:$A,0)),0)</f>
        <v/>
      </c>
      <c r="F498" s="34" t="n">
        <v>0</v>
      </c>
      <c r="G498" s="35">
        <f>IFERROR(INDEX(Produits!$E:$E,MATCH(B498,Produits!$A:$A,0)),0)</f>
        <v/>
      </c>
      <c r="H498" s="32">
        <f>ROUND(D498*E498*(1-F498),2)</f>
        <v/>
      </c>
      <c r="I498" s="32">
        <f>ROUND(H498*G498,2)</f>
        <v/>
      </c>
    </row>
    <row r="499">
      <c r="A499" s="30" t="inlineStr">
        <is>
          <t>FA-2026-0143</t>
        </is>
      </c>
      <c r="B499" s="30" t="inlineStr">
        <is>
          <t>CF-P</t>
        </is>
      </c>
      <c r="C499" s="30">
        <f>IFERROR(INDEX(Produits!$B:$B,MATCH(B499,Produits!$A:$A,0)),"Réf inconnue")</f>
        <v/>
      </c>
      <c r="D499" s="30" t="n">
        <v>7</v>
      </c>
      <c r="E499" s="32">
        <f>IFERROR(INDEX(Produits!$D:$D,MATCH(B499,Produits!$A:$A,0)),0)</f>
        <v/>
      </c>
      <c r="F499" s="34" t="n">
        <v>0</v>
      </c>
      <c r="G499" s="35">
        <f>IFERROR(INDEX(Produits!$E:$E,MATCH(B499,Produits!$A:$A,0)),0)</f>
        <v/>
      </c>
      <c r="H499" s="32">
        <f>ROUND(D499*E499*(1-F499),2)</f>
        <v/>
      </c>
      <c r="I499" s="32">
        <f>ROUND(H499*G499,2)</f>
        <v/>
      </c>
    </row>
    <row r="500">
      <c r="A500" s="30" t="inlineStr">
        <is>
          <t>FA-2026-0143</t>
        </is>
      </c>
      <c r="B500" s="30" t="inlineStr">
        <is>
          <t>HO-T3</t>
        </is>
      </c>
      <c r="C500" s="30">
        <f>IFERROR(INDEX(Produits!$B:$B,MATCH(B500,Produits!$A:$A,0)),"Réf inconnue")</f>
        <v/>
      </c>
      <c r="D500" s="30" t="n">
        <v>49</v>
      </c>
      <c r="E500" s="32">
        <f>IFERROR(INDEX(Produits!$D:$D,MATCH(B500,Produits!$A:$A,0)),0)</f>
        <v/>
      </c>
      <c r="F500" s="34" t="n">
        <v>0</v>
      </c>
      <c r="G500" s="35">
        <f>IFERROR(INDEX(Produits!$E:$E,MATCH(B500,Produits!$A:$A,0)),0)</f>
        <v/>
      </c>
      <c r="H500" s="32">
        <f>ROUND(D500*E500*(1-F500),2)</f>
        <v/>
      </c>
      <c r="I500" s="32">
        <f>ROUND(H500*G500,2)</f>
        <v/>
      </c>
    </row>
    <row r="501">
      <c r="A501" s="30" t="inlineStr">
        <is>
          <t>FA-2026-0143</t>
        </is>
      </c>
      <c r="B501" s="30" t="inlineStr">
        <is>
          <t>CF-D</t>
        </is>
      </c>
      <c r="C501" s="30">
        <f>IFERROR(INDEX(Produits!$B:$B,MATCH(B501,Produits!$A:$A,0)),"Réf inconnue")</f>
        <v/>
      </c>
      <c r="D501" s="30" t="n">
        <v>4</v>
      </c>
      <c r="E501" s="32">
        <f>IFERROR(INDEX(Produits!$D:$D,MATCH(B501,Produits!$A:$A,0)),0)</f>
        <v/>
      </c>
      <c r="F501" s="34" t="n">
        <v>0.05</v>
      </c>
      <c r="G501" s="35">
        <f>IFERROR(INDEX(Produits!$E:$E,MATCH(B501,Produits!$A:$A,0)),0)</f>
        <v/>
      </c>
      <c r="H501" s="32">
        <f>ROUND(D501*E501*(1-F501),2)</f>
        <v/>
      </c>
      <c r="I501" s="32">
        <f>ROUND(H501*G501,2)</f>
        <v/>
      </c>
    </row>
    <row r="502">
      <c r="A502" s="30" t="inlineStr">
        <is>
          <t>FA-2026-0144</t>
        </is>
      </c>
      <c r="B502" s="30" t="inlineStr">
        <is>
          <t>HO-1</t>
        </is>
      </c>
      <c r="C502" s="30">
        <f>IFERROR(INDEX(Produits!$B:$B,MATCH(B502,Produits!$A:$A,0)),"Réf inconnue")</f>
        <v/>
      </c>
      <c r="D502" s="30" t="n">
        <v>20</v>
      </c>
      <c r="E502" s="32">
        <f>IFERROR(INDEX(Produits!$D:$D,MATCH(B502,Produits!$A:$A,0)),0)</f>
        <v/>
      </c>
      <c r="F502" s="34" t="n">
        <v>0</v>
      </c>
      <c r="G502" s="35">
        <f>IFERROR(INDEX(Produits!$E:$E,MATCH(B502,Produits!$A:$A,0)),0)</f>
        <v/>
      </c>
      <c r="H502" s="32">
        <f>ROUND(D502*E502*(1-F502),2)</f>
        <v/>
      </c>
      <c r="I502" s="32">
        <f>ROUND(H502*G502,2)</f>
        <v/>
      </c>
    </row>
    <row r="503">
      <c r="A503" s="30" t="inlineStr">
        <is>
          <t>FA-2026-0144</t>
        </is>
      </c>
      <c r="B503" s="30" t="inlineStr">
        <is>
          <t>HO-T3</t>
        </is>
      </c>
      <c r="C503" s="30">
        <f>IFERROR(INDEX(Produits!$B:$B,MATCH(B503,Produits!$A:$A,0)),"Réf inconnue")</f>
        <v/>
      </c>
      <c r="D503" s="30" t="n">
        <v>21</v>
      </c>
      <c r="E503" s="32">
        <f>IFERROR(INDEX(Produits!$D:$D,MATCH(B503,Produits!$A:$A,0)),0)</f>
        <v/>
      </c>
      <c r="F503" s="34" t="n">
        <v>0</v>
      </c>
      <c r="G503" s="35">
        <f>IFERROR(INDEX(Produits!$E:$E,MATCH(B503,Produits!$A:$A,0)),0)</f>
        <v/>
      </c>
      <c r="H503" s="32">
        <f>ROUND(D503*E503*(1-F503),2)</f>
        <v/>
      </c>
      <c r="I503" s="32">
        <f>ROUND(H503*G503,2)</f>
        <v/>
      </c>
    </row>
    <row r="504">
      <c r="A504" s="30" t="inlineStr">
        <is>
          <t>FA-2026-0144</t>
        </is>
      </c>
      <c r="B504" s="30" t="inlineStr">
        <is>
          <t>OL-V</t>
        </is>
      </c>
      <c r="C504" s="30">
        <f>IFERROR(INDEX(Produits!$B:$B,MATCH(B504,Produits!$A:$A,0)),"Réf inconnue")</f>
        <v/>
      </c>
      <c r="D504" s="30" t="n">
        <v>18</v>
      </c>
      <c r="E504" s="32">
        <f>IFERROR(INDEX(Produits!$D:$D,MATCH(B504,Produits!$A:$A,0)),0)</f>
        <v/>
      </c>
      <c r="F504" s="34" t="n">
        <v>0</v>
      </c>
      <c r="G504" s="35">
        <f>IFERROR(INDEX(Produits!$E:$E,MATCH(B504,Produits!$A:$A,0)),0)</f>
        <v/>
      </c>
      <c r="H504" s="32">
        <f>ROUND(D504*E504*(1-F504),2)</f>
        <v/>
      </c>
      <c r="I504" s="32">
        <f>ROUND(H504*G504,2)</f>
        <v/>
      </c>
    </row>
    <row r="505">
      <c r="A505" s="30" t="inlineStr">
        <is>
          <t>FA-2026-0144</t>
        </is>
      </c>
      <c r="B505" s="30" t="inlineStr">
        <is>
          <t>CF-P</t>
        </is>
      </c>
      <c r="C505" s="30">
        <f>IFERROR(INDEX(Produits!$B:$B,MATCH(B505,Produits!$A:$A,0)),"Réf inconnue")</f>
        <v/>
      </c>
      <c r="D505" s="30" t="n">
        <v>1</v>
      </c>
      <c r="E505" s="32">
        <f>IFERROR(INDEX(Produits!$D:$D,MATCH(B505,Produits!$A:$A,0)),0)</f>
        <v/>
      </c>
      <c r="F505" s="34" t="n">
        <v>0</v>
      </c>
      <c r="G505" s="35">
        <f>IFERROR(INDEX(Produits!$E:$E,MATCH(B505,Produits!$A:$A,0)),0)</f>
        <v/>
      </c>
      <c r="H505" s="32">
        <f>ROUND(D505*E505*(1-F505),2)</f>
        <v/>
      </c>
      <c r="I505" s="32">
        <f>ROUND(H505*G505,2)</f>
        <v/>
      </c>
    </row>
    <row r="506">
      <c r="A506" s="30" t="inlineStr">
        <is>
          <t>FA-2026-0145</t>
        </is>
      </c>
      <c r="B506" s="30" t="inlineStr">
        <is>
          <t>TP-O</t>
        </is>
      </c>
      <c r="C506" s="30">
        <f>IFERROR(INDEX(Produits!$B:$B,MATCH(B506,Produits!$A:$A,0)),"Réf inconnue")</f>
        <v/>
      </c>
      <c r="D506" s="30" t="n">
        <v>29</v>
      </c>
      <c r="E506" s="32">
        <f>IFERROR(INDEX(Produits!$D:$D,MATCH(B506,Produits!$A:$A,0)),0)</f>
        <v/>
      </c>
      <c r="F506" s="34" t="n">
        <v>0</v>
      </c>
      <c r="G506" s="35">
        <f>IFERROR(INDEX(Produits!$E:$E,MATCH(B506,Produits!$A:$A,0)),0)</f>
        <v/>
      </c>
      <c r="H506" s="32">
        <f>ROUND(D506*E506*(1-F506),2)</f>
        <v/>
      </c>
      <c r="I506" s="32">
        <f>ROUND(H506*G506,2)</f>
        <v/>
      </c>
    </row>
    <row r="507">
      <c r="A507" s="30" t="inlineStr">
        <is>
          <t>FA-2026-0145</t>
        </is>
      </c>
      <c r="B507" s="30" t="inlineStr">
        <is>
          <t>SV-O</t>
        </is>
      </c>
      <c r="C507" s="30">
        <f>IFERROR(INDEX(Produits!$B:$B,MATCH(B507,Produits!$A:$A,0)),"Réf inconnue")</f>
        <v/>
      </c>
      <c r="D507" s="30" t="n">
        <v>26</v>
      </c>
      <c r="E507" s="32">
        <f>IFERROR(INDEX(Produits!$D:$D,MATCH(B507,Produits!$A:$A,0)),0)</f>
        <v/>
      </c>
      <c r="F507" s="34" t="n">
        <v>0.05</v>
      </c>
      <c r="G507" s="35">
        <f>IFERROR(INDEX(Produits!$E:$E,MATCH(B507,Produits!$A:$A,0)),0)</f>
        <v/>
      </c>
      <c r="H507" s="32">
        <f>ROUND(D507*E507*(1-F507),2)</f>
        <v/>
      </c>
      <c r="I507" s="32">
        <f>ROUND(H507*G507,2)</f>
        <v/>
      </c>
    </row>
    <row r="508">
      <c r="A508" s="30" t="inlineStr">
        <is>
          <t>FA-2026-0146</t>
        </is>
      </c>
      <c r="B508" s="30" t="inlineStr">
        <is>
          <t>SV-O</t>
        </is>
      </c>
      <c r="C508" s="30">
        <f>IFERROR(INDEX(Produits!$B:$B,MATCH(B508,Produits!$A:$A,0)),"Réf inconnue")</f>
        <v/>
      </c>
      <c r="D508" s="30" t="n">
        <v>14</v>
      </c>
      <c r="E508" s="32">
        <f>IFERROR(INDEX(Produits!$D:$D,MATCH(B508,Produits!$A:$A,0)),0)</f>
        <v/>
      </c>
      <c r="F508" s="34" t="n">
        <v>0</v>
      </c>
      <c r="G508" s="35">
        <f>IFERROR(INDEX(Produits!$E:$E,MATCH(B508,Produits!$A:$A,0)),0)</f>
        <v/>
      </c>
      <c r="H508" s="32">
        <f>ROUND(D508*E508*(1-F508),2)</f>
        <v/>
      </c>
      <c r="I508" s="32">
        <f>ROUND(H508*G508,2)</f>
        <v/>
      </c>
    </row>
    <row r="509">
      <c r="A509" s="30" t="inlineStr">
        <is>
          <t>FA-2026-0146</t>
        </is>
      </c>
      <c r="B509" s="30" t="inlineStr">
        <is>
          <t>OL-V</t>
        </is>
      </c>
      <c r="C509" s="30">
        <f>IFERROR(INDEX(Produits!$B:$B,MATCH(B509,Produits!$A:$A,0)),"Réf inconnue")</f>
        <v/>
      </c>
      <c r="D509" s="30" t="n">
        <v>13</v>
      </c>
      <c r="E509" s="32">
        <f>IFERROR(INDEX(Produits!$D:$D,MATCH(B509,Produits!$A:$A,0)),0)</f>
        <v/>
      </c>
      <c r="F509" s="34" t="n">
        <v>0</v>
      </c>
      <c r="G509" s="35">
        <f>IFERROR(INDEX(Produits!$E:$E,MATCH(B509,Produits!$A:$A,0)),0)</f>
        <v/>
      </c>
      <c r="H509" s="32">
        <f>ROUND(D509*E509*(1-F509),2)</f>
        <v/>
      </c>
      <c r="I509" s="32">
        <f>ROUND(H509*G509,2)</f>
        <v/>
      </c>
    </row>
    <row r="510">
      <c r="A510" s="30" t="inlineStr">
        <is>
          <t>FA-2026-0146</t>
        </is>
      </c>
      <c r="B510" s="30" t="inlineStr">
        <is>
          <t>CF-P</t>
        </is>
      </c>
      <c r="C510" s="30">
        <f>IFERROR(INDEX(Produits!$B:$B,MATCH(B510,Produits!$A:$A,0)),"Réf inconnue")</f>
        <v/>
      </c>
      <c r="D510" s="30" t="n">
        <v>1</v>
      </c>
      <c r="E510" s="32">
        <f>IFERROR(INDEX(Produits!$D:$D,MATCH(B510,Produits!$A:$A,0)),0)</f>
        <v/>
      </c>
      <c r="F510" s="34" t="n">
        <v>0</v>
      </c>
      <c r="G510" s="35">
        <f>IFERROR(INDEX(Produits!$E:$E,MATCH(B510,Produits!$A:$A,0)),0)</f>
        <v/>
      </c>
      <c r="H510" s="32">
        <f>ROUND(D510*E510*(1-F510),2)</f>
        <v/>
      </c>
      <c r="I510" s="32">
        <f>ROUND(H510*G510,2)</f>
        <v/>
      </c>
    </row>
    <row r="511">
      <c r="A511" s="30" t="inlineStr">
        <is>
          <t>FA-2026-0147</t>
        </is>
      </c>
      <c r="B511" s="30" t="inlineStr">
        <is>
          <t>CF-P</t>
        </is>
      </c>
      <c r="C511" s="30">
        <f>IFERROR(INDEX(Produits!$B:$B,MATCH(B511,Produits!$A:$A,0)),"Réf inconnue")</f>
        <v/>
      </c>
      <c r="D511" s="30" t="n">
        <v>1</v>
      </c>
      <c r="E511" s="32">
        <f>IFERROR(INDEX(Produits!$D:$D,MATCH(B511,Produits!$A:$A,0)),0)</f>
        <v/>
      </c>
      <c r="F511" s="34" t="n">
        <v>0</v>
      </c>
      <c r="G511" s="35">
        <f>IFERROR(INDEX(Produits!$E:$E,MATCH(B511,Produits!$A:$A,0)),0)</f>
        <v/>
      </c>
      <c r="H511" s="32">
        <f>ROUND(D511*E511*(1-F511),2)</f>
        <v/>
      </c>
      <c r="I511" s="32">
        <f>ROUND(H511*G511,2)</f>
        <v/>
      </c>
    </row>
    <row r="512">
      <c r="A512" s="30" t="inlineStr">
        <is>
          <t>FA-2026-0147</t>
        </is>
      </c>
      <c r="B512" s="30" t="inlineStr">
        <is>
          <t>HO-T3</t>
        </is>
      </c>
      <c r="C512" s="30">
        <f>IFERROR(INDEX(Produits!$B:$B,MATCH(B512,Produits!$A:$A,0)),"Réf inconnue")</f>
        <v/>
      </c>
      <c r="D512" s="30" t="n">
        <v>16</v>
      </c>
      <c r="E512" s="32">
        <f>IFERROR(INDEX(Produits!$D:$D,MATCH(B512,Produits!$A:$A,0)),0)</f>
        <v/>
      </c>
      <c r="F512" s="34" t="n">
        <v>0</v>
      </c>
      <c r="G512" s="35">
        <f>IFERROR(INDEX(Produits!$E:$E,MATCH(B512,Produits!$A:$A,0)),0)</f>
        <v/>
      </c>
      <c r="H512" s="32">
        <f>ROUND(D512*E512*(1-F512),2)</f>
        <v/>
      </c>
      <c r="I512" s="32">
        <f>ROUND(H512*G512,2)</f>
        <v/>
      </c>
    </row>
    <row r="513">
      <c r="A513" s="30" t="inlineStr">
        <is>
          <t>FA-2026-0147</t>
        </is>
      </c>
      <c r="B513" s="30" t="inlineStr">
        <is>
          <t>HO-05</t>
        </is>
      </c>
      <c r="C513" s="30">
        <f>IFERROR(INDEX(Produits!$B:$B,MATCH(B513,Produits!$A:$A,0)),"Réf inconnue")</f>
        <v/>
      </c>
      <c r="D513" s="30" t="n">
        <v>24</v>
      </c>
      <c r="E513" s="32">
        <f>IFERROR(INDEX(Produits!$D:$D,MATCH(B513,Produits!$A:$A,0)),0)</f>
        <v/>
      </c>
      <c r="F513" s="34" t="n">
        <v>0</v>
      </c>
      <c r="G513" s="35">
        <f>IFERROR(INDEX(Produits!$E:$E,MATCH(B513,Produits!$A:$A,0)),0)</f>
        <v/>
      </c>
      <c r="H513" s="32">
        <f>ROUND(D513*E513*(1-F513),2)</f>
        <v/>
      </c>
      <c r="I513" s="32">
        <f>ROUND(H513*G513,2)</f>
        <v/>
      </c>
    </row>
    <row r="514">
      <c r="A514" s="30" t="inlineStr">
        <is>
          <t>FA-2026-0147</t>
        </is>
      </c>
      <c r="B514" s="30" t="inlineStr">
        <is>
          <t>HO-5</t>
        </is>
      </c>
      <c r="C514" s="30">
        <f>IFERROR(INDEX(Produits!$B:$B,MATCH(B514,Produits!$A:$A,0)),"Réf inconnue")</f>
        <v/>
      </c>
      <c r="D514" s="30" t="n">
        <v>14</v>
      </c>
      <c r="E514" s="32">
        <f>IFERROR(INDEX(Produits!$D:$D,MATCH(B514,Produits!$A:$A,0)),0)</f>
        <v/>
      </c>
      <c r="F514" s="34" t="n">
        <v>0</v>
      </c>
      <c r="G514" s="35">
        <f>IFERROR(INDEX(Produits!$E:$E,MATCH(B514,Produits!$A:$A,0)),0)</f>
        <v/>
      </c>
      <c r="H514" s="32">
        <f>ROUND(D514*E514*(1-F514),2)</f>
        <v/>
      </c>
      <c r="I514" s="32">
        <f>ROUND(H514*G514,2)</f>
        <v/>
      </c>
    </row>
    <row r="515">
      <c r="A515" s="30" t="inlineStr">
        <is>
          <t>FA-2026-0147</t>
        </is>
      </c>
      <c r="B515" s="30" t="inlineStr">
        <is>
          <t>OL-V</t>
        </is>
      </c>
      <c r="C515" s="30">
        <f>IFERROR(INDEX(Produits!$B:$B,MATCH(B515,Produits!$A:$A,0)),"Réf inconnue")</f>
        <v/>
      </c>
      <c r="D515" s="30" t="n">
        <v>10</v>
      </c>
      <c r="E515" s="32">
        <f>IFERROR(INDEX(Produits!$D:$D,MATCH(B515,Produits!$A:$A,0)),0)</f>
        <v/>
      </c>
      <c r="F515" s="34" t="n">
        <v>0</v>
      </c>
      <c r="G515" s="35">
        <f>IFERROR(INDEX(Produits!$E:$E,MATCH(B515,Produits!$A:$A,0)),0)</f>
        <v/>
      </c>
      <c r="H515" s="32">
        <f>ROUND(D515*E515*(1-F515),2)</f>
        <v/>
      </c>
      <c r="I515" s="32">
        <f>ROUND(H515*G515,2)</f>
        <v/>
      </c>
    </row>
    <row r="516">
      <c r="A516" s="30" t="inlineStr">
        <is>
          <t>FA-2026-0148</t>
        </is>
      </c>
      <c r="B516" s="30" t="inlineStr">
        <is>
          <t>HO-1</t>
        </is>
      </c>
      <c r="C516" s="30">
        <f>IFERROR(INDEX(Produits!$B:$B,MATCH(B516,Produits!$A:$A,0)),"Réf inconnue")</f>
        <v/>
      </c>
      <c r="D516" s="30" t="n">
        <v>10</v>
      </c>
      <c r="E516" s="32">
        <f>IFERROR(INDEX(Produits!$D:$D,MATCH(B516,Produits!$A:$A,0)),0)</f>
        <v/>
      </c>
      <c r="F516" s="34" t="n">
        <v>0</v>
      </c>
      <c r="G516" s="35">
        <f>IFERROR(INDEX(Produits!$E:$E,MATCH(B516,Produits!$A:$A,0)),0)</f>
        <v/>
      </c>
      <c r="H516" s="32">
        <f>ROUND(D516*E516*(1-F516),2)</f>
        <v/>
      </c>
      <c r="I516" s="32">
        <f>ROUND(H516*G516,2)</f>
        <v/>
      </c>
    </row>
    <row r="517">
      <c r="A517" s="30" t="inlineStr">
        <is>
          <t>FA-2026-0148</t>
        </is>
      </c>
      <c r="B517" s="30" t="inlineStr">
        <is>
          <t>OL-N</t>
        </is>
      </c>
      <c r="C517" s="30">
        <f>IFERROR(INDEX(Produits!$B:$B,MATCH(B517,Produits!$A:$A,0)),"Réf inconnue")</f>
        <v/>
      </c>
      <c r="D517" s="30" t="n">
        <v>12</v>
      </c>
      <c r="E517" s="32">
        <f>IFERROR(INDEX(Produits!$D:$D,MATCH(B517,Produits!$A:$A,0)),0)</f>
        <v/>
      </c>
      <c r="F517" s="34" t="n">
        <v>0</v>
      </c>
      <c r="G517" s="35">
        <f>IFERROR(INDEX(Produits!$E:$E,MATCH(B517,Produits!$A:$A,0)),0)</f>
        <v/>
      </c>
      <c r="H517" s="32">
        <f>ROUND(D517*E517*(1-F517),2)</f>
        <v/>
      </c>
      <c r="I517" s="32">
        <f>ROUND(H517*G517,2)</f>
        <v/>
      </c>
    </row>
    <row r="518">
      <c r="A518" s="30" t="inlineStr">
        <is>
          <t>FA-2026-0149</t>
        </is>
      </c>
      <c r="B518" s="30" t="inlineStr">
        <is>
          <t>CF-P</t>
        </is>
      </c>
      <c r="C518" s="30">
        <f>IFERROR(INDEX(Produits!$B:$B,MATCH(B518,Produits!$A:$A,0)),"Réf inconnue")</f>
        <v/>
      </c>
      <c r="D518" s="30" t="n">
        <v>4</v>
      </c>
      <c r="E518" s="32">
        <f>IFERROR(INDEX(Produits!$D:$D,MATCH(B518,Produits!$A:$A,0)),0)</f>
        <v/>
      </c>
      <c r="F518" s="34" t="n">
        <v>0.03</v>
      </c>
      <c r="G518" s="35">
        <f>IFERROR(INDEX(Produits!$E:$E,MATCH(B518,Produits!$A:$A,0)),0)</f>
        <v/>
      </c>
      <c r="H518" s="32">
        <f>ROUND(D518*E518*(1-F518),2)</f>
        <v/>
      </c>
      <c r="I518" s="32">
        <f>ROUND(H518*G518,2)</f>
        <v/>
      </c>
    </row>
    <row r="519">
      <c r="A519" s="30" t="inlineStr">
        <is>
          <t>FA-2026-0149</t>
        </is>
      </c>
      <c r="B519" s="30" t="inlineStr">
        <is>
          <t>HO-05</t>
        </is>
      </c>
      <c r="C519" s="30">
        <f>IFERROR(INDEX(Produits!$B:$B,MATCH(B519,Produits!$A:$A,0)),"Réf inconnue")</f>
        <v/>
      </c>
      <c r="D519" s="30" t="n">
        <v>13</v>
      </c>
      <c r="E519" s="32">
        <f>IFERROR(INDEX(Produits!$D:$D,MATCH(B519,Produits!$A:$A,0)),0)</f>
        <v/>
      </c>
      <c r="F519" s="34" t="n">
        <v>0</v>
      </c>
      <c r="G519" s="35">
        <f>IFERROR(INDEX(Produits!$E:$E,MATCH(B519,Produits!$A:$A,0)),0)</f>
        <v/>
      </c>
      <c r="H519" s="32">
        <f>ROUND(D519*E519*(1-F519),2)</f>
        <v/>
      </c>
      <c r="I519" s="32">
        <f>ROUND(H519*G519,2)</f>
        <v/>
      </c>
    </row>
    <row r="520">
      <c r="A520" s="30" t="inlineStr">
        <is>
          <t>FA-2026-0149</t>
        </is>
      </c>
      <c r="B520" s="30" t="inlineStr">
        <is>
          <t>HO-5</t>
        </is>
      </c>
      <c r="C520" s="30">
        <f>IFERROR(INDEX(Produits!$B:$B,MATCH(B520,Produits!$A:$A,0)),"Réf inconnue")</f>
        <v/>
      </c>
      <c r="D520" s="30" t="n">
        <v>42</v>
      </c>
      <c r="E520" s="32">
        <f>IFERROR(INDEX(Produits!$D:$D,MATCH(B520,Produits!$A:$A,0)),0)</f>
        <v/>
      </c>
      <c r="F520" s="34" t="n">
        <v>0</v>
      </c>
      <c r="G520" s="35">
        <f>IFERROR(INDEX(Produits!$E:$E,MATCH(B520,Produits!$A:$A,0)),0)</f>
        <v/>
      </c>
      <c r="H520" s="32">
        <f>ROUND(D520*E520*(1-F520),2)</f>
        <v/>
      </c>
      <c r="I520" s="32">
        <f>ROUND(H520*G520,2)</f>
        <v/>
      </c>
    </row>
    <row r="521">
      <c r="A521" s="30" t="inlineStr">
        <is>
          <t>FA-2026-0149</t>
        </is>
      </c>
      <c r="B521" s="30" t="inlineStr">
        <is>
          <t>SV-O</t>
        </is>
      </c>
      <c r="C521" s="30">
        <f>IFERROR(INDEX(Produits!$B:$B,MATCH(B521,Produits!$A:$A,0)),"Réf inconnue")</f>
        <v/>
      </c>
      <c r="D521" s="30" t="n">
        <v>45</v>
      </c>
      <c r="E521" s="32">
        <f>IFERROR(INDEX(Produits!$D:$D,MATCH(B521,Produits!$A:$A,0)),0)</f>
        <v/>
      </c>
      <c r="F521" s="34" t="n">
        <v>0</v>
      </c>
      <c r="G521" s="35">
        <f>IFERROR(INDEX(Produits!$E:$E,MATCH(B521,Produits!$A:$A,0)),0)</f>
        <v/>
      </c>
      <c r="H521" s="32">
        <f>ROUND(D521*E521*(1-F521),2)</f>
        <v/>
      </c>
      <c r="I521" s="32">
        <f>ROUND(H521*G521,2)</f>
        <v/>
      </c>
    </row>
    <row r="522">
      <c r="A522" s="30" t="inlineStr">
        <is>
          <t>FA-2026-0149</t>
        </is>
      </c>
      <c r="B522" s="30" t="inlineStr">
        <is>
          <t>HO-T3</t>
        </is>
      </c>
      <c r="C522" s="30">
        <f>IFERROR(INDEX(Produits!$B:$B,MATCH(B522,Produits!$A:$A,0)),"Réf inconnue")</f>
        <v/>
      </c>
      <c r="D522" s="30" t="n">
        <v>16</v>
      </c>
      <c r="E522" s="32">
        <f>IFERROR(INDEX(Produits!$D:$D,MATCH(B522,Produits!$A:$A,0)),0)</f>
        <v/>
      </c>
      <c r="F522" s="34" t="n">
        <v>0</v>
      </c>
      <c r="G522" s="35">
        <f>IFERROR(INDEX(Produits!$E:$E,MATCH(B522,Produits!$A:$A,0)),0)</f>
        <v/>
      </c>
      <c r="H522" s="32">
        <f>ROUND(D522*E522*(1-F522),2)</f>
        <v/>
      </c>
      <c r="I522" s="32">
        <f>ROUND(H522*G522,2)</f>
        <v/>
      </c>
    </row>
    <row r="523">
      <c r="A523" s="30" t="inlineStr">
        <is>
          <t>FA-2026-0150</t>
        </is>
      </c>
      <c r="B523" s="30" t="inlineStr">
        <is>
          <t>SV-O</t>
        </is>
      </c>
      <c r="C523" s="30">
        <f>IFERROR(INDEX(Produits!$B:$B,MATCH(B523,Produits!$A:$A,0)),"Réf inconnue")</f>
        <v/>
      </c>
      <c r="D523" s="30" t="n">
        <v>21</v>
      </c>
      <c r="E523" s="32">
        <f>IFERROR(INDEX(Produits!$D:$D,MATCH(B523,Produits!$A:$A,0)),0)</f>
        <v/>
      </c>
      <c r="F523" s="34" t="n">
        <v>0</v>
      </c>
      <c r="G523" s="35">
        <f>IFERROR(INDEX(Produits!$E:$E,MATCH(B523,Produits!$A:$A,0)),0)</f>
        <v/>
      </c>
      <c r="H523" s="32">
        <f>ROUND(D523*E523*(1-F523),2)</f>
        <v/>
      </c>
      <c r="I523" s="32">
        <f>ROUND(H523*G523,2)</f>
        <v/>
      </c>
    </row>
    <row r="524">
      <c r="A524" s="30" t="inlineStr">
        <is>
          <t>FA-2026-0150</t>
        </is>
      </c>
      <c r="B524" s="30" t="inlineStr">
        <is>
          <t>OL-N</t>
        </is>
      </c>
      <c r="C524" s="30">
        <f>IFERROR(INDEX(Produits!$B:$B,MATCH(B524,Produits!$A:$A,0)),"Réf inconnue")</f>
        <v/>
      </c>
      <c r="D524" s="30" t="n">
        <v>4</v>
      </c>
      <c r="E524" s="32">
        <f>IFERROR(INDEX(Produits!$D:$D,MATCH(B524,Produits!$A:$A,0)),0)</f>
        <v/>
      </c>
      <c r="F524" s="34" t="n">
        <v>0</v>
      </c>
      <c r="G524" s="35">
        <f>IFERROR(INDEX(Produits!$E:$E,MATCH(B524,Produits!$A:$A,0)),0)</f>
        <v/>
      </c>
      <c r="H524" s="32">
        <f>ROUND(D524*E524*(1-F524),2)</f>
        <v/>
      </c>
      <c r="I524" s="32">
        <f>ROUND(H524*G524,2)</f>
        <v/>
      </c>
    </row>
    <row r="525">
      <c r="A525" s="30" t="inlineStr">
        <is>
          <t>FA-2026-0150</t>
        </is>
      </c>
      <c r="B525" s="30" t="inlineStr">
        <is>
          <t>TP-O</t>
        </is>
      </c>
      <c r="C525" s="30">
        <f>IFERROR(INDEX(Produits!$B:$B,MATCH(B525,Produits!$A:$A,0)),"Réf inconnue")</f>
        <v/>
      </c>
      <c r="D525" s="30" t="n">
        <v>16</v>
      </c>
      <c r="E525" s="32">
        <f>IFERROR(INDEX(Produits!$D:$D,MATCH(B525,Produits!$A:$A,0)),0)</f>
        <v/>
      </c>
      <c r="F525" s="34" t="n">
        <v>0</v>
      </c>
      <c r="G525" s="35">
        <f>IFERROR(INDEX(Produits!$E:$E,MATCH(B525,Produits!$A:$A,0)),0)</f>
        <v/>
      </c>
      <c r="H525" s="32">
        <f>ROUND(D525*E525*(1-F525),2)</f>
        <v/>
      </c>
      <c r="I525" s="32">
        <f>ROUND(H525*G525,2)</f>
        <v/>
      </c>
    </row>
    <row r="526">
      <c r="A526" s="30" t="inlineStr">
        <is>
          <t>FA-2026-0151</t>
        </is>
      </c>
      <c r="B526" s="30" t="inlineStr">
        <is>
          <t>HO-05</t>
        </is>
      </c>
      <c r="C526" s="30">
        <f>IFERROR(INDEX(Produits!$B:$B,MATCH(B526,Produits!$A:$A,0)),"Réf inconnue")</f>
        <v/>
      </c>
      <c r="D526" s="30" t="n">
        <v>13</v>
      </c>
      <c r="E526" s="32">
        <f>IFERROR(INDEX(Produits!$D:$D,MATCH(B526,Produits!$A:$A,0)),0)</f>
        <v/>
      </c>
      <c r="F526" s="34" t="n">
        <v>0</v>
      </c>
      <c r="G526" s="35">
        <f>IFERROR(INDEX(Produits!$E:$E,MATCH(B526,Produits!$A:$A,0)),0)</f>
        <v/>
      </c>
      <c r="H526" s="32">
        <f>ROUND(D526*E526*(1-F526),2)</f>
        <v/>
      </c>
      <c r="I526" s="32">
        <f>ROUND(H526*G526,2)</f>
        <v/>
      </c>
    </row>
    <row r="527">
      <c r="A527" s="30" t="inlineStr">
        <is>
          <t>FA-2026-0151</t>
        </is>
      </c>
      <c r="B527" s="30" t="inlineStr">
        <is>
          <t>CF-P</t>
        </is>
      </c>
      <c r="C527" s="30">
        <f>IFERROR(INDEX(Produits!$B:$B,MATCH(B527,Produits!$A:$A,0)),"Réf inconnue")</f>
        <v/>
      </c>
      <c r="D527" s="30" t="n">
        <v>1</v>
      </c>
      <c r="E527" s="32">
        <f>IFERROR(INDEX(Produits!$D:$D,MATCH(B527,Produits!$A:$A,0)),0)</f>
        <v/>
      </c>
      <c r="F527" s="34" t="n">
        <v>0</v>
      </c>
      <c r="G527" s="35">
        <f>IFERROR(INDEX(Produits!$E:$E,MATCH(B527,Produits!$A:$A,0)),0)</f>
        <v/>
      </c>
      <c r="H527" s="32">
        <f>ROUND(D527*E527*(1-F527),2)</f>
        <v/>
      </c>
      <c r="I527" s="32">
        <f>ROUND(H527*G527,2)</f>
        <v/>
      </c>
    </row>
    <row r="528">
      <c r="A528" s="30" t="inlineStr">
        <is>
          <t>FA-2026-0151</t>
        </is>
      </c>
      <c r="B528" s="30" t="inlineStr">
        <is>
          <t>CF-D</t>
        </is>
      </c>
      <c r="C528" s="30">
        <f>IFERROR(INDEX(Produits!$B:$B,MATCH(B528,Produits!$A:$A,0)),"Réf inconnue")</f>
        <v/>
      </c>
      <c r="D528" s="30" t="n">
        <v>1</v>
      </c>
      <c r="E528" s="32">
        <f>IFERROR(INDEX(Produits!$D:$D,MATCH(B528,Produits!$A:$A,0)),0)</f>
        <v/>
      </c>
      <c r="F528" s="34" t="n">
        <v>0</v>
      </c>
      <c r="G528" s="35">
        <f>IFERROR(INDEX(Produits!$E:$E,MATCH(B528,Produits!$A:$A,0)),0)</f>
        <v/>
      </c>
      <c r="H528" s="32">
        <f>ROUND(D528*E528*(1-F528),2)</f>
        <v/>
      </c>
      <c r="I528" s="32">
        <f>ROUND(H528*G528,2)</f>
        <v/>
      </c>
    </row>
    <row r="529">
      <c r="A529" s="30" t="inlineStr">
        <is>
          <t>FA-2026-0152</t>
        </is>
      </c>
      <c r="B529" s="30" t="inlineStr">
        <is>
          <t>HO-T3</t>
        </is>
      </c>
      <c r="C529" s="30">
        <f>IFERROR(INDEX(Produits!$B:$B,MATCH(B529,Produits!$A:$A,0)),"Réf inconnue")</f>
        <v/>
      </c>
      <c r="D529" s="30" t="n">
        <v>56</v>
      </c>
      <c r="E529" s="32">
        <f>IFERROR(INDEX(Produits!$D:$D,MATCH(B529,Produits!$A:$A,0)),0)</f>
        <v/>
      </c>
      <c r="F529" s="34" t="n">
        <v>0.03</v>
      </c>
      <c r="G529" s="35">
        <f>IFERROR(INDEX(Produits!$E:$E,MATCH(B529,Produits!$A:$A,0)),0)</f>
        <v/>
      </c>
      <c r="H529" s="32">
        <f>ROUND(D529*E529*(1-F529),2)</f>
        <v/>
      </c>
      <c r="I529" s="32">
        <f>ROUND(H529*G529,2)</f>
        <v/>
      </c>
    </row>
    <row r="530">
      <c r="A530" s="30" t="inlineStr">
        <is>
          <t>FA-2026-0152</t>
        </is>
      </c>
      <c r="B530" s="30" t="inlineStr">
        <is>
          <t>HO-5</t>
        </is>
      </c>
      <c r="C530" s="30">
        <f>IFERROR(INDEX(Produits!$B:$B,MATCH(B530,Produits!$A:$A,0)),"Réf inconnue")</f>
        <v/>
      </c>
      <c r="D530" s="30" t="n">
        <v>46</v>
      </c>
      <c r="E530" s="32">
        <f>IFERROR(INDEX(Produits!$D:$D,MATCH(B530,Produits!$A:$A,0)),0)</f>
        <v/>
      </c>
      <c r="F530" s="34" t="n">
        <v>0</v>
      </c>
      <c r="G530" s="35">
        <f>IFERROR(INDEX(Produits!$E:$E,MATCH(B530,Produits!$A:$A,0)),0)</f>
        <v/>
      </c>
      <c r="H530" s="32">
        <f>ROUND(D530*E530*(1-F530),2)</f>
        <v/>
      </c>
      <c r="I530" s="32">
        <f>ROUND(H530*G530,2)</f>
        <v/>
      </c>
    </row>
    <row r="531">
      <c r="A531" s="30" t="inlineStr">
        <is>
          <t>FA-2026-0152</t>
        </is>
      </c>
      <c r="B531" s="30" t="inlineStr">
        <is>
          <t>CF-P</t>
        </is>
      </c>
      <c r="C531" s="30">
        <f>IFERROR(INDEX(Produits!$B:$B,MATCH(B531,Produits!$A:$A,0)),"Réf inconnue")</f>
        <v/>
      </c>
      <c r="D531" s="30" t="n">
        <v>6</v>
      </c>
      <c r="E531" s="32">
        <f>IFERROR(INDEX(Produits!$D:$D,MATCH(B531,Produits!$A:$A,0)),0)</f>
        <v/>
      </c>
      <c r="F531" s="34" t="n">
        <v>0.05</v>
      </c>
      <c r="G531" s="35">
        <f>IFERROR(INDEX(Produits!$E:$E,MATCH(B531,Produits!$A:$A,0)),0)</f>
        <v/>
      </c>
      <c r="H531" s="32">
        <f>ROUND(D531*E531*(1-F531),2)</f>
        <v/>
      </c>
      <c r="I531" s="32">
        <f>ROUND(H531*G531,2)</f>
        <v/>
      </c>
    </row>
    <row r="532">
      <c r="A532" s="30" t="inlineStr">
        <is>
          <t>FA-2026-0152</t>
        </is>
      </c>
      <c r="B532" s="30" t="inlineStr">
        <is>
          <t>HO-1</t>
        </is>
      </c>
      <c r="C532" s="30">
        <f>IFERROR(INDEX(Produits!$B:$B,MATCH(B532,Produits!$A:$A,0)),"Réf inconnue")</f>
        <v/>
      </c>
      <c r="D532" s="30" t="n">
        <v>18</v>
      </c>
      <c r="E532" s="32">
        <f>IFERROR(INDEX(Produits!$D:$D,MATCH(B532,Produits!$A:$A,0)),0)</f>
        <v/>
      </c>
      <c r="F532" s="34" t="n">
        <v>0</v>
      </c>
      <c r="G532" s="35">
        <f>IFERROR(INDEX(Produits!$E:$E,MATCH(B532,Produits!$A:$A,0)),0)</f>
        <v/>
      </c>
      <c r="H532" s="32">
        <f>ROUND(D532*E532*(1-F532),2)</f>
        <v/>
      </c>
      <c r="I532" s="32">
        <f>ROUND(H532*G532,2)</f>
        <v/>
      </c>
    </row>
    <row r="533">
      <c r="A533" s="30" t="inlineStr">
        <is>
          <t>FA-2026-0152</t>
        </is>
      </c>
      <c r="B533" s="30" t="inlineStr">
        <is>
          <t>OL-V</t>
        </is>
      </c>
      <c r="C533" s="30">
        <f>IFERROR(INDEX(Produits!$B:$B,MATCH(B533,Produits!$A:$A,0)),"Réf inconnue")</f>
        <v/>
      </c>
      <c r="D533" s="30" t="n">
        <v>36</v>
      </c>
      <c r="E533" s="32">
        <f>IFERROR(INDEX(Produits!$D:$D,MATCH(B533,Produits!$A:$A,0)),0)</f>
        <v/>
      </c>
      <c r="F533" s="34" t="n">
        <v>0.03</v>
      </c>
      <c r="G533" s="35">
        <f>IFERROR(INDEX(Produits!$E:$E,MATCH(B533,Produits!$A:$A,0)),0)</f>
        <v/>
      </c>
      <c r="H533" s="32">
        <f>ROUND(D533*E533*(1-F533),2)</f>
        <v/>
      </c>
      <c r="I533" s="32">
        <f>ROUND(H533*G533,2)</f>
        <v/>
      </c>
    </row>
    <row r="534">
      <c r="A534" s="30" t="inlineStr">
        <is>
          <t>FA-2026-0153</t>
        </is>
      </c>
      <c r="B534" s="30" t="inlineStr">
        <is>
          <t>HO-1</t>
        </is>
      </c>
      <c r="C534" s="30">
        <f>IFERROR(INDEX(Produits!$B:$B,MATCH(B534,Produits!$A:$A,0)),"Réf inconnue")</f>
        <v/>
      </c>
      <c r="D534" s="30" t="n">
        <v>21</v>
      </c>
      <c r="E534" s="32">
        <f>IFERROR(INDEX(Produits!$D:$D,MATCH(B534,Produits!$A:$A,0)),0)</f>
        <v/>
      </c>
      <c r="F534" s="34" t="n">
        <v>0</v>
      </c>
      <c r="G534" s="35">
        <f>IFERROR(INDEX(Produits!$E:$E,MATCH(B534,Produits!$A:$A,0)),0)</f>
        <v/>
      </c>
      <c r="H534" s="32">
        <f>ROUND(D534*E534*(1-F534),2)</f>
        <v/>
      </c>
      <c r="I534" s="32">
        <f>ROUND(H534*G534,2)</f>
        <v/>
      </c>
    </row>
    <row r="535">
      <c r="A535" s="30" t="inlineStr">
        <is>
          <t>FA-2026-0153</t>
        </is>
      </c>
      <c r="B535" s="30" t="inlineStr">
        <is>
          <t>SV-O</t>
        </is>
      </c>
      <c r="C535" s="30">
        <f>IFERROR(INDEX(Produits!$B:$B,MATCH(B535,Produits!$A:$A,0)),"Réf inconnue")</f>
        <v/>
      </c>
      <c r="D535" s="30" t="n">
        <v>6</v>
      </c>
      <c r="E535" s="32">
        <f>IFERROR(INDEX(Produits!$D:$D,MATCH(B535,Produits!$A:$A,0)),0)</f>
        <v/>
      </c>
      <c r="F535" s="34" t="n">
        <v>0</v>
      </c>
      <c r="G535" s="35">
        <f>IFERROR(INDEX(Produits!$E:$E,MATCH(B535,Produits!$A:$A,0)),0)</f>
        <v/>
      </c>
      <c r="H535" s="32">
        <f>ROUND(D535*E535*(1-F535),2)</f>
        <v/>
      </c>
      <c r="I535" s="32">
        <f>ROUND(H535*G535,2)</f>
        <v/>
      </c>
    </row>
    <row r="536">
      <c r="A536" s="30" t="inlineStr">
        <is>
          <t>FA-2026-0153</t>
        </is>
      </c>
      <c r="B536" s="30" t="inlineStr">
        <is>
          <t>OL-V</t>
        </is>
      </c>
      <c r="C536" s="30">
        <f>IFERROR(INDEX(Produits!$B:$B,MATCH(B536,Produits!$A:$A,0)),"Réf inconnue")</f>
        <v/>
      </c>
      <c r="D536" s="30" t="n">
        <v>7</v>
      </c>
      <c r="E536" s="32">
        <f>IFERROR(INDEX(Produits!$D:$D,MATCH(B536,Produits!$A:$A,0)),0)</f>
        <v/>
      </c>
      <c r="F536" s="34" t="n">
        <v>0</v>
      </c>
      <c r="G536" s="35">
        <f>IFERROR(INDEX(Produits!$E:$E,MATCH(B536,Produits!$A:$A,0)),0)</f>
        <v/>
      </c>
      <c r="H536" s="32">
        <f>ROUND(D536*E536*(1-F536),2)</f>
        <v/>
      </c>
      <c r="I536" s="32">
        <f>ROUND(H536*G536,2)</f>
        <v/>
      </c>
    </row>
    <row r="537">
      <c r="A537" s="30" t="inlineStr">
        <is>
          <t>FA-2026-0153</t>
        </is>
      </c>
      <c r="B537" s="30" t="inlineStr">
        <is>
          <t>HO-T3</t>
        </is>
      </c>
      <c r="C537" s="30">
        <f>IFERROR(INDEX(Produits!$B:$B,MATCH(B537,Produits!$A:$A,0)),"Réf inconnue")</f>
        <v/>
      </c>
      <c r="D537" s="30" t="n">
        <v>7</v>
      </c>
      <c r="E537" s="32">
        <f>IFERROR(INDEX(Produits!$D:$D,MATCH(B537,Produits!$A:$A,0)),0)</f>
        <v/>
      </c>
      <c r="F537" s="34" t="n">
        <v>0</v>
      </c>
      <c r="G537" s="35">
        <f>IFERROR(INDEX(Produits!$E:$E,MATCH(B537,Produits!$A:$A,0)),0)</f>
        <v/>
      </c>
      <c r="H537" s="32">
        <f>ROUND(D537*E537*(1-F537),2)</f>
        <v/>
      </c>
      <c r="I537" s="32">
        <f>ROUND(H537*G537,2)</f>
        <v/>
      </c>
    </row>
    <row r="538">
      <c r="A538" s="30" t="inlineStr">
        <is>
          <t>FA-2026-0153</t>
        </is>
      </c>
      <c r="B538" s="30" t="inlineStr">
        <is>
          <t>TP-O</t>
        </is>
      </c>
      <c r="C538" s="30">
        <f>IFERROR(INDEX(Produits!$B:$B,MATCH(B538,Produits!$A:$A,0)),"Réf inconnue")</f>
        <v/>
      </c>
      <c r="D538" s="30" t="n">
        <v>5</v>
      </c>
      <c r="E538" s="32">
        <f>IFERROR(INDEX(Produits!$D:$D,MATCH(B538,Produits!$A:$A,0)),0)</f>
        <v/>
      </c>
      <c r="F538" s="34" t="n">
        <v>0</v>
      </c>
      <c r="G538" s="35">
        <f>IFERROR(INDEX(Produits!$E:$E,MATCH(B538,Produits!$A:$A,0)),0)</f>
        <v/>
      </c>
      <c r="H538" s="32">
        <f>ROUND(D538*E538*(1-F538),2)</f>
        <v/>
      </c>
      <c r="I538" s="32">
        <f>ROUND(H538*G538,2)</f>
        <v/>
      </c>
    </row>
    <row r="539">
      <c r="A539" s="30" t="inlineStr">
        <is>
          <t>FA-2026-0154</t>
        </is>
      </c>
      <c r="B539" s="30" t="inlineStr">
        <is>
          <t>TP-O</t>
        </is>
      </c>
      <c r="C539" s="30">
        <f>IFERROR(INDEX(Produits!$B:$B,MATCH(B539,Produits!$A:$A,0)),"Réf inconnue")</f>
        <v/>
      </c>
      <c r="D539" s="30" t="n">
        <v>26</v>
      </c>
      <c r="E539" s="32">
        <f>IFERROR(INDEX(Produits!$D:$D,MATCH(B539,Produits!$A:$A,0)),0)</f>
        <v/>
      </c>
      <c r="F539" s="34" t="n">
        <v>0.03</v>
      </c>
      <c r="G539" s="35">
        <f>IFERROR(INDEX(Produits!$E:$E,MATCH(B539,Produits!$A:$A,0)),0)</f>
        <v/>
      </c>
      <c r="H539" s="32">
        <f>ROUND(D539*E539*(1-F539),2)</f>
        <v/>
      </c>
      <c r="I539" s="32">
        <f>ROUND(H539*G539,2)</f>
        <v/>
      </c>
    </row>
    <row r="540">
      <c r="A540" s="30" t="inlineStr">
        <is>
          <t>FA-2026-0154</t>
        </is>
      </c>
      <c r="B540" s="30" t="inlineStr">
        <is>
          <t>OL-N</t>
        </is>
      </c>
      <c r="C540" s="30">
        <f>IFERROR(INDEX(Produits!$B:$B,MATCH(B540,Produits!$A:$A,0)),"Réf inconnue")</f>
        <v/>
      </c>
      <c r="D540" s="30" t="n">
        <v>42</v>
      </c>
      <c r="E540" s="32">
        <f>IFERROR(INDEX(Produits!$D:$D,MATCH(B540,Produits!$A:$A,0)),0)</f>
        <v/>
      </c>
      <c r="F540" s="34" t="n">
        <v>0.05</v>
      </c>
      <c r="G540" s="35">
        <f>IFERROR(INDEX(Produits!$E:$E,MATCH(B540,Produits!$A:$A,0)),0)</f>
        <v/>
      </c>
      <c r="H540" s="32">
        <f>ROUND(D540*E540*(1-F540),2)</f>
        <v/>
      </c>
      <c r="I540" s="32">
        <f>ROUND(H540*G540,2)</f>
        <v/>
      </c>
    </row>
    <row r="541">
      <c r="A541" s="30" t="inlineStr">
        <is>
          <t>FA-2026-0155</t>
        </is>
      </c>
      <c r="B541" s="30" t="inlineStr">
        <is>
          <t>CF-D</t>
        </is>
      </c>
      <c r="C541" s="30">
        <f>IFERROR(INDEX(Produits!$B:$B,MATCH(B541,Produits!$A:$A,0)),"Réf inconnue")</f>
        <v/>
      </c>
      <c r="D541" s="30" t="n">
        <v>1</v>
      </c>
      <c r="E541" s="32">
        <f>IFERROR(INDEX(Produits!$D:$D,MATCH(B541,Produits!$A:$A,0)),0)</f>
        <v/>
      </c>
      <c r="F541" s="34" t="n">
        <v>0</v>
      </c>
      <c r="G541" s="35">
        <f>IFERROR(INDEX(Produits!$E:$E,MATCH(B541,Produits!$A:$A,0)),0)</f>
        <v/>
      </c>
      <c r="H541" s="32">
        <f>ROUND(D541*E541*(1-F541),2)</f>
        <v/>
      </c>
      <c r="I541" s="32">
        <f>ROUND(H541*G541,2)</f>
        <v/>
      </c>
    </row>
    <row r="542">
      <c r="A542" s="30" t="inlineStr">
        <is>
          <t>FA-2026-0155</t>
        </is>
      </c>
      <c r="B542" s="30" t="inlineStr">
        <is>
          <t>OL-V</t>
        </is>
      </c>
      <c r="C542" s="30">
        <f>IFERROR(INDEX(Produits!$B:$B,MATCH(B542,Produits!$A:$A,0)),"Réf inconnue")</f>
        <v/>
      </c>
      <c r="D542" s="30" t="n">
        <v>2</v>
      </c>
      <c r="E542" s="32">
        <f>IFERROR(INDEX(Produits!$D:$D,MATCH(B542,Produits!$A:$A,0)),0)</f>
        <v/>
      </c>
      <c r="F542" s="34" t="n">
        <v>0</v>
      </c>
      <c r="G542" s="35">
        <f>IFERROR(INDEX(Produits!$E:$E,MATCH(B542,Produits!$A:$A,0)),0)</f>
        <v/>
      </c>
      <c r="H542" s="32">
        <f>ROUND(D542*E542*(1-F542),2)</f>
        <v/>
      </c>
      <c r="I542" s="32">
        <f>ROUND(H542*G542,2)</f>
        <v/>
      </c>
    </row>
    <row r="543">
      <c r="A543" s="30" t="inlineStr">
        <is>
          <t>FA-2026-0155</t>
        </is>
      </c>
      <c r="B543" s="30" t="inlineStr">
        <is>
          <t>HO-T3</t>
        </is>
      </c>
      <c r="C543" s="30">
        <f>IFERROR(INDEX(Produits!$B:$B,MATCH(B543,Produits!$A:$A,0)),"Réf inconnue")</f>
        <v/>
      </c>
      <c r="D543" s="30" t="n">
        <v>12</v>
      </c>
      <c r="E543" s="32">
        <f>IFERROR(INDEX(Produits!$D:$D,MATCH(B543,Produits!$A:$A,0)),0)</f>
        <v/>
      </c>
      <c r="F543" s="34" t="n">
        <v>0</v>
      </c>
      <c r="G543" s="35">
        <f>IFERROR(INDEX(Produits!$E:$E,MATCH(B543,Produits!$A:$A,0)),0)</f>
        <v/>
      </c>
      <c r="H543" s="32">
        <f>ROUND(D543*E543*(1-F543),2)</f>
        <v/>
      </c>
      <c r="I543" s="32">
        <f>ROUND(H543*G543,2)</f>
        <v/>
      </c>
    </row>
    <row r="544">
      <c r="A544" s="30" t="inlineStr">
        <is>
          <t>FA-2026-0156</t>
        </is>
      </c>
      <c r="B544" s="30" t="inlineStr">
        <is>
          <t>OL-V</t>
        </is>
      </c>
      <c r="C544" s="30">
        <f>IFERROR(INDEX(Produits!$B:$B,MATCH(B544,Produits!$A:$A,0)),"Réf inconnue")</f>
        <v/>
      </c>
      <c r="D544" s="30" t="n">
        <v>22</v>
      </c>
      <c r="E544" s="32">
        <f>IFERROR(INDEX(Produits!$D:$D,MATCH(B544,Produits!$A:$A,0)),0)</f>
        <v/>
      </c>
      <c r="F544" s="34" t="n">
        <v>0</v>
      </c>
      <c r="G544" s="35">
        <f>IFERROR(INDEX(Produits!$E:$E,MATCH(B544,Produits!$A:$A,0)),0)</f>
        <v/>
      </c>
      <c r="H544" s="32">
        <f>ROUND(D544*E544*(1-F544),2)</f>
        <v/>
      </c>
      <c r="I544" s="32">
        <f>ROUND(H544*G544,2)</f>
        <v/>
      </c>
    </row>
    <row r="545">
      <c r="A545" s="30" t="inlineStr">
        <is>
          <t>FA-2026-0156</t>
        </is>
      </c>
      <c r="B545" s="30" t="inlineStr">
        <is>
          <t>TP-O</t>
        </is>
      </c>
      <c r="C545" s="30">
        <f>IFERROR(INDEX(Produits!$B:$B,MATCH(B545,Produits!$A:$A,0)),"Réf inconnue")</f>
        <v/>
      </c>
      <c r="D545" s="30" t="n">
        <v>18</v>
      </c>
      <c r="E545" s="32">
        <f>IFERROR(INDEX(Produits!$D:$D,MATCH(B545,Produits!$A:$A,0)),0)</f>
        <v/>
      </c>
      <c r="F545" s="34" t="n">
        <v>0</v>
      </c>
      <c r="G545" s="35">
        <f>IFERROR(INDEX(Produits!$E:$E,MATCH(B545,Produits!$A:$A,0)),0)</f>
        <v/>
      </c>
      <c r="H545" s="32">
        <f>ROUND(D545*E545*(1-F545),2)</f>
        <v/>
      </c>
      <c r="I545" s="32">
        <f>ROUND(H545*G545,2)</f>
        <v/>
      </c>
    </row>
    <row r="546">
      <c r="A546" s="30" t="inlineStr">
        <is>
          <t>FA-2026-0157</t>
        </is>
      </c>
      <c r="B546" s="30" t="inlineStr">
        <is>
          <t>OL-V</t>
        </is>
      </c>
      <c r="C546" s="30">
        <f>IFERROR(INDEX(Produits!$B:$B,MATCH(B546,Produits!$A:$A,0)),"Réf inconnue")</f>
        <v/>
      </c>
      <c r="D546" s="30" t="n">
        <v>16</v>
      </c>
      <c r="E546" s="32">
        <f>IFERROR(INDEX(Produits!$D:$D,MATCH(B546,Produits!$A:$A,0)),0)</f>
        <v/>
      </c>
      <c r="F546" s="34" t="n">
        <v>0.05</v>
      </c>
      <c r="G546" s="35">
        <f>IFERROR(INDEX(Produits!$E:$E,MATCH(B546,Produits!$A:$A,0)),0)</f>
        <v/>
      </c>
      <c r="H546" s="32">
        <f>ROUND(D546*E546*(1-F546),2)</f>
        <v/>
      </c>
      <c r="I546" s="32">
        <f>ROUND(H546*G546,2)</f>
        <v/>
      </c>
    </row>
    <row r="547">
      <c r="A547" s="30" t="inlineStr">
        <is>
          <t>FA-2026-0157</t>
        </is>
      </c>
      <c r="B547" s="30" t="inlineStr">
        <is>
          <t>HO-T3</t>
        </is>
      </c>
      <c r="C547" s="30">
        <f>IFERROR(INDEX(Produits!$B:$B,MATCH(B547,Produits!$A:$A,0)),"Réf inconnue")</f>
        <v/>
      </c>
      <c r="D547" s="30" t="n">
        <v>68</v>
      </c>
      <c r="E547" s="32">
        <f>IFERROR(INDEX(Produits!$D:$D,MATCH(B547,Produits!$A:$A,0)),0)</f>
        <v/>
      </c>
      <c r="F547" s="34" t="n">
        <v>0.03</v>
      </c>
      <c r="G547" s="35">
        <f>IFERROR(INDEX(Produits!$E:$E,MATCH(B547,Produits!$A:$A,0)),0)</f>
        <v/>
      </c>
      <c r="H547" s="32">
        <f>ROUND(D547*E547*(1-F547),2)</f>
        <v/>
      </c>
      <c r="I547" s="32">
        <f>ROUND(H547*G547,2)</f>
        <v/>
      </c>
    </row>
    <row r="548">
      <c r="A548" s="30" t="inlineStr">
        <is>
          <t>FA-2026-0157</t>
        </is>
      </c>
      <c r="B548" s="30" t="inlineStr">
        <is>
          <t>SV-O</t>
        </is>
      </c>
      <c r="C548" s="30">
        <f>IFERROR(INDEX(Produits!$B:$B,MATCH(B548,Produits!$A:$A,0)),"Réf inconnue")</f>
        <v/>
      </c>
      <c r="D548" s="30" t="n">
        <v>44</v>
      </c>
      <c r="E548" s="32">
        <f>IFERROR(INDEX(Produits!$D:$D,MATCH(B548,Produits!$A:$A,0)),0)</f>
        <v/>
      </c>
      <c r="F548" s="34" t="n">
        <v>0</v>
      </c>
      <c r="G548" s="35">
        <f>IFERROR(INDEX(Produits!$E:$E,MATCH(B548,Produits!$A:$A,0)),0)</f>
        <v/>
      </c>
      <c r="H548" s="32">
        <f>ROUND(D548*E548*(1-F548),2)</f>
        <v/>
      </c>
      <c r="I548" s="32">
        <f>ROUND(H548*G548,2)</f>
        <v/>
      </c>
    </row>
    <row r="549">
      <c r="A549" s="30" t="inlineStr">
        <is>
          <t>FA-2026-0158</t>
        </is>
      </c>
      <c r="B549" s="30" t="inlineStr">
        <is>
          <t>SV-O</t>
        </is>
      </c>
      <c r="C549" s="30">
        <f>IFERROR(INDEX(Produits!$B:$B,MATCH(B549,Produits!$A:$A,0)),"Réf inconnue")</f>
        <v/>
      </c>
      <c r="D549" s="30" t="n">
        <v>5</v>
      </c>
      <c r="E549" s="32">
        <f>IFERROR(INDEX(Produits!$D:$D,MATCH(B549,Produits!$A:$A,0)),0)</f>
        <v/>
      </c>
      <c r="F549" s="34" t="n">
        <v>0</v>
      </c>
      <c r="G549" s="35">
        <f>IFERROR(INDEX(Produits!$E:$E,MATCH(B549,Produits!$A:$A,0)),0)</f>
        <v/>
      </c>
      <c r="H549" s="32">
        <f>ROUND(D549*E549*(1-F549),2)</f>
        <v/>
      </c>
      <c r="I549" s="32">
        <f>ROUND(H549*G549,2)</f>
        <v/>
      </c>
    </row>
    <row r="550">
      <c r="A550" s="30" t="inlineStr">
        <is>
          <t>FA-2026-0158</t>
        </is>
      </c>
      <c r="B550" s="30" t="inlineStr">
        <is>
          <t>CF-P</t>
        </is>
      </c>
      <c r="C550" s="30">
        <f>IFERROR(INDEX(Produits!$B:$B,MATCH(B550,Produits!$A:$A,0)),"Réf inconnue")</f>
        <v/>
      </c>
      <c r="D550" s="30" t="n">
        <v>1</v>
      </c>
      <c r="E550" s="32">
        <f>IFERROR(INDEX(Produits!$D:$D,MATCH(B550,Produits!$A:$A,0)),0)</f>
        <v/>
      </c>
      <c r="F550" s="34" t="n">
        <v>0</v>
      </c>
      <c r="G550" s="35">
        <f>IFERROR(INDEX(Produits!$E:$E,MATCH(B550,Produits!$A:$A,0)),0)</f>
        <v/>
      </c>
      <c r="H550" s="32">
        <f>ROUND(D550*E550*(1-F550),2)</f>
        <v/>
      </c>
      <c r="I550" s="32">
        <f>ROUND(H550*G550,2)</f>
        <v/>
      </c>
    </row>
    <row r="551">
      <c r="A551" s="30" t="inlineStr">
        <is>
          <t>FA-2026-0159</t>
        </is>
      </c>
      <c r="B551" s="30" t="inlineStr">
        <is>
          <t>SV-O</t>
        </is>
      </c>
      <c r="C551" s="30">
        <f>IFERROR(INDEX(Produits!$B:$B,MATCH(B551,Produits!$A:$A,0)),"Réf inconnue")</f>
        <v/>
      </c>
      <c r="D551" s="30" t="n">
        <v>17</v>
      </c>
      <c r="E551" s="32">
        <f>IFERROR(INDEX(Produits!$D:$D,MATCH(B551,Produits!$A:$A,0)),0)</f>
        <v/>
      </c>
      <c r="F551" s="34" t="n">
        <v>0</v>
      </c>
      <c r="G551" s="35">
        <f>IFERROR(INDEX(Produits!$E:$E,MATCH(B551,Produits!$A:$A,0)),0)</f>
        <v/>
      </c>
      <c r="H551" s="32">
        <f>ROUND(D551*E551*(1-F551),2)</f>
        <v/>
      </c>
      <c r="I551" s="32">
        <f>ROUND(H551*G551,2)</f>
        <v/>
      </c>
    </row>
    <row r="552">
      <c r="A552" s="30" t="inlineStr">
        <is>
          <t>FA-2026-0159</t>
        </is>
      </c>
      <c r="B552" s="30" t="inlineStr">
        <is>
          <t>OL-N</t>
        </is>
      </c>
      <c r="C552" s="30">
        <f>IFERROR(INDEX(Produits!$B:$B,MATCH(B552,Produits!$A:$A,0)),"Réf inconnue")</f>
        <v/>
      </c>
      <c r="D552" s="30" t="n">
        <v>14</v>
      </c>
      <c r="E552" s="32">
        <f>IFERROR(INDEX(Produits!$D:$D,MATCH(B552,Produits!$A:$A,0)),0)</f>
        <v/>
      </c>
      <c r="F552" s="34" t="n">
        <v>0</v>
      </c>
      <c r="G552" s="35">
        <f>IFERROR(INDEX(Produits!$E:$E,MATCH(B552,Produits!$A:$A,0)),0)</f>
        <v/>
      </c>
      <c r="H552" s="32">
        <f>ROUND(D552*E552*(1-F552),2)</f>
        <v/>
      </c>
      <c r="I552" s="32">
        <f>ROUND(H552*G552,2)</f>
        <v/>
      </c>
    </row>
    <row r="553">
      <c r="A553" s="30" t="inlineStr">
        <is>
          <t>FA-2026-0159</t>
        </is>
      </c>
      <c r="B553" s="30" t="inlineStr">
        <is>
          <t>HO-1</t>
        </is>
      </c>
      <c r="C553" s="30">
        <f>IFERROR(INDEX(Produits!$B:$B,MATCH(B553,Produits!$A:$A,0)),"Réf inconnue")</f>
        <v/>
      </c>
      <c r="D553" s="30" t="n">
        <v>4</v>
      </c>
      <c r="E553" s="32">
        <f>IFERROR(INDEX(Produits!$D:$D,MATCH(B553,Produits!$A:$A,0)),0)</f>
        <v/>
      </c>
      <c r="F553" s="34" t="n">
        <v>0</v>
      </c>
      <c r="G553" s="35">
        <f>IFERROR(INDEX(Produits!$E:$E,MATCH(B553,Produits!$A:$A,0)),0)</f>
        <v/>
      </c>
      <c r="H553" s="32">
        <f>ROUND(D553*E553*(1-F553),2)</f>
        <v/>
      </c>
      <c r="I553" s="32">
        <f>ROUND(H553*G553,2)</f>
        <v/>
      </c>
    </row>
    <row r="554">
      <c r="A554" s="30" t="inlineStr">
        <is>
          <t>FA-2026-0159</t>
        </is>
      </c>
      <c r="B554" s="30" t="inlineStr">
        <is>
          <t>HO-05</t>
        </is>
      </c>
      <c r="C554" s="30">
        <f>IFERROR(INDEX(Produits!$B:$B,MATCH(B554,Produits!$A:$A,0)),"Réf inconnue")</f>
        <v/>
      </c>
      <c r="D554" s="30" t="n">
        <v>14</v>
      </c>
      <c r="E554" s="32">
        <f>IFERROR(INDEX(Produits!$D:$D,MATCH(B554,Produits!$A:$A,0)),0)</f>
        <v/>
      </c>
      <c r="F554" s="34" t="n">
        <v>0</v>
      </c>
      <c r="G554" s="35">
        <f>IFERROR(INDEX(Produits!$E:$E,MATCH(B554,Produits!$A:$A,0)),0)</f>
        <v/>
      </c>
      <c r="H554" s="32">
        <f>ROUND(D554*E554*(1-F554),2)</f>
        <v/>
      </c>
      <c r="I554" s="32">
        <f>ROUND(H554*G554,2)</f>
        <v/>
      </c>
    </row>
    <row r="555">
      <c r="A555" s="30" t="inlineStr">
        <is>
          <t>FA-2026-0160</t>
        </is>
      </c>
      <c r="B555" s="30" t="inlineStr">
        <is>
          <t>OL-V</t>
        </is>
      </c>
      <c r="C555" s="30">
        <f>IFERROR(INDEX(Produits!$B:$B,MATCH(B555,Produits!$A:$A,0)),"Réf inconnue")</f>
        <v/>
      </c>
      <c r="D555" s="30" t="n">
        <v>10</v>
      </c>
      <c r="E555" s="32">
        <f>IFERROR(INDEX(Produits!$D:$D,MATCH(B555,Produits!$A:$A,0)),0)</f>
        <v/>
      </c>
      <c r="F555" s="34" t="n">
        <v>0</v>
      </c>
      <c r="G555" s="35">
        <f>IFERROR(INDEX(Produits!$E:$E,MATCH(B555,Produits!$A:$A,0)),0)</f>
        <v/>
      </c>
      <c r="H555" s="32">
        <f>ROUND(D555*E555*(1-F555),2)</f>
        <v/>
      </c>
      <c r="I555" s="32">
        <f>ROUND(H555*G555,2)</f>
        <v/>
      </c>
    </row>
    <row r="556">
      <c r="A556" s="30" t="inlineStr">
        <is>
          <t>FA-2026-0160</t>
        </is>
      </c>
      <c r="B556" s="30" t="inlineStr">
        <is>
          <t>HO-05</t>
        </is>
      </c>
      <c r="C556" s="30">
        <f>IFERROR(INDEX(Produits!$B:$B,MATCH(B556,Produits!$A:$A,0)),"Réf inconnue")</f>
        <v/>
      </c>
      <c r="D556" s="30" t="n">
        <v>13</v>
      </c>
      <c r="E556" s="32">
        <f>IFERROR(INDEX(Produits!$D:$D,MATCH(B556,Produits!$A:$A,0)),0)</f>
        <v/>
      </c>
      <c r="F556" s="34" t="n">
        <v>0</v>
      </c>
      <c r="G556" s="35">
        <f>IFERROR(INDEX(Produits!$E:$E,MATCH(B556,Produits!$A:$A,0)),0)</f>
        <v/>
      </c>
      <c r="H556" s="32">
        <f>ROUND(D556*E556*(1-F556),2)</f>
        <v/>
      </c>
      <c r="I556" s="32">
        <f>ROUND(H556*G556,2)</f>
        <v/>
      </c>
    </row>
    <row r="557">
      <c r="A557" s="30" t="inlineStr">
        <is>
          <t>FA-2026-0160</t>
        </is>
      </c>
      <c r="B557" s="30" t="inlineStr">
        <is>
          <t>HO-1</t>
        </is>
      </c>
      <c r="C557" s="30">
        <f>IFERROR(INDEX(Produits!$B:$B,MATCH(B557,Produits!$A:$A,0)),"Réf inconnue")</f>
        <v/>
      </c>
      <c r="D557" s="30" t="n">
        <v>8</v>
      </c>
      <c r="E557" s="32">
        <f>IFERROR(INDEX(Produits!$D:$D,MATCH(B557,Produits!$A:$A,0)),0)</f>
        <v/>
      </c>
      <c r="F557" s="34" t="n">
        <v>0</v>
      </c>
      <c r="G557" s="35">
        <f>IFERROR(INDEX(Produits!$E:$E,MATCH(B557,Produits!$A:$A,0)),0)</f>
        <v/>
      </c>
      <c r="H557" s="32">
        <f>ROUND(D557*E557*(1-F557),2)</f>
        <v/>
      </c>
      <c r="I557" s="32">
        <f>ROUND(H557*G557,2)</f>
        <v/>
      </c>
    </row>
    <row r="558">
      <c r="A558" s="30" t="inlineStr">
        <is>
          <t>FA-2026-0161</t>
        </is>
      </c>
      <c r="B558" s="30" t="inlineStr">
        <is>
          <t>CF-P</t>
        </is>
      </c>
      <c r="C558" s="30">
        <f>IFERROR(INDEX(Produits!$B:$B,MATCH(B558,Produits!$A:$A,0)),"Réf inconnue")</f>
        <v/>
      </c>
      <c r="D558" s="30" t="n">
        <v>1</v>
      </c>
      <c r="E558" s="32">
        <f>IFERROR(INDEX(Produits!$D:$D,MATCH(B558,Produits!$A:$A,0)),0)</f>
        <v/>
      </c>
      <c r="F558" s="34" t="n">
        <v>0</v>
      </c>
      <c r="G558" s="35">
        <f>IFERROR(INDEX(Produits!$E:$E,MATCH(B558,Produits!$A:$A,0)),0)</f>
        <v/>
      </c>
      <c r="H558" s="32">
        <f>ROUND(D558*E558*(1-F558),2)</f>
        <v/>
      </c>
      <c r="I558" s="32">
        <f>ROUND(H558*G558,2)</f>
        <v/>
      </c>
    </row>
    <row r="559">
      <c r="A559" s="30" t="inlineStr">
        <is>
          <t>FA-2026-0161</t>
        </is>
      </c>
      <c r="B559" s="30" t="inlineStr">
        <is>
          <t>HO-T3</t>
        </is>
      </c>
      <c r="C559" s="30">
        <f>IFERROR(INDEX(Produits!$B:$B,MATCH(B559,Produits!$A:$A,0)),"Réf inconnue")</f>
        <v/>
      </c>
      <c r="D559" s="30" t="n">
        <v>5</v>
      </c>
      <c r="E559" s="32">
        <f>IFERROR(INDEX(Produits!$D:$D,MATCH(B559,Produits!$A:$A,0)),0)</f>
        <v/>
      </c>
      <c r="F559" s="34" t="n">
        <v>0</v>
      </c>
      <c r="G559" s="35">
        <f>IFERROR(INDEX(Produits!$E:$E,MATCH(B559,Produits!$A:$A,0)),0)</f>
        <v/>
      </c>
      <c r="H559" s="32">
        <f>ROUND(D559*E559*(1-F559),2)</f>
        <v/>
      </c>
      <c r="I559" s="32">
        <f>ROUND(H559*G559,2)</f>
        <v/>
      </c>
    </row>
    <row r="560">
      <c r="A560" s="30" t="inlineStr">
        <is>
          <t>FA-2026-0161</t>
        </is>
      </c>
      <c r="B560" s="30" t="inlineStr">
        <is>
          <t>OL-N</t>
        </is>
      </c>
      <c r="C560" s="30">
        <f>IFERROR(INDEX(Produits!$B:$B,MATCH(B560,Produits!$A:$A,0)),"Réf inconnue")</f>
        <v/>
      </c>
      <c r="D560" s="30" t="n">
        <v>8</v>
      </c>
      <c r="E560" s="32">
        <f>IFERROR(INDEX(Produits!$D:$D,MATCH(B560,Produits!$A:$A,0)),0)</f>
        <v/>
      </c>
      <c r="F560" s="34" t="n">
        <v>0</v>
      </c>
      <c r="G560" s="35">
        <f>IFERROR(INDEX(Produits!$E:$E,MATCH(B560,Produits!$A:$A,0)),0)</f>
        <v/>
      </c>
      <c r="H560" s="32">
        <f>ROUND(D560*E560*(1-F560),2)</f>
        <v/>
      </c>
      <c r="I560" s="32">
        <f>ROUND(H560*G560,2)</f>
        <v/>
      </c>
    </row>
    <row r="561">
      <c r="A561" s="30" t="inlineStr">
        <is>
          <t>FA-2026-0162</t>
        </is>
      </c>
      <c r="B561" s="30" t="inlineStr">
        <is>
          <t>CF-D</t>
        </is>
      </c>
      <c r="C561" s="30">
        <f>IFERROR(INDEX(Produits!$B:$B,MATCH(B561,Produits!$A:$A,0)),"Réf inconnue")</f>
        <v/>
      </c>
      <c r="D561" s="30" t="n">
        <v>10</v>
      </c>
      <c r="E561" s="32">
        <f>IFERROR(INDEX(Produits!$D:$D,MATCH(B561,Produits!$A:$A,0)),0)</f>
        <v/>
      </c>
      <c r="F561" s="34" t="n">
        <v>0.03</v>
      </c>
      <c r="G561" s="35">
        <f>IFERROR(INDEX(Produits!$E:$E,MATCH(B561,Produits!$A:$A,0)),0)</f>
        <v/>
      </c>
      <c r="H561" s="32">
        <f>ROUND(D561*E561*(1-F561),2)</f>
        <v/>
      </c>
      <c r="I561" s="32">
        <f>ROUND(H561*G561,2)</f>
        <v/>
      </c>
    </row>
    <row r="562">
      <c r="A562" s="30" t="inlineStr">
        <is>
          <t>FA-2026-0162</t>
        </is>
      </c>
      <c r="B562" s="30" t="inlineStr">
        <is>
          <t>HO-05</t>
        </is>
      </c>
      <c r="C562" s="30">
        <f>IFERROR(INDEX(Produits!$B:$B,MATCH(B562,Produits!$A:$A,0)),"Réf inconnue")</f>
        <v/>
      </c>
      <c r="D562" s="30" t="n">
        <v>50</v>
      </c>
      <c r="E562" s="32">
        <f>IFERROR(INDEX(Produits!$D:$D,MATCH(B562,Produits!$A:$A,0)),0)</f>
        <v/>
      </c>
      <c r="F562" s="34" t="n">
        <v>0.05</v>
      </c>
      <c r="G562" s="35">
        <f>IFERROR(INDEX(Produits!$E:$E,MATCH(B562,Produits!$A:$A,0)),0)</f>
        <v/>
      </c>
      <c r="H562" s="32">
        <f>ROUND(D562*E562*(1-F562),2)</f>
        <v/>
      </c>
      <c r="I562" s="32">
        <f>ROUND(H562*G562,2)</f>
        <v/>
      </c>
    </row>
    <row r="563">
      <c r="A563" s="30" t="inlineStr">
        <is>
          <t>FA-2026-0162</t>
        </is>
      </c>
      <c r="B563" s="30" t="inlineStr">
        <is>
          <t>TP-O</t>
        </is>
      </c>
      <c r="C563" s="30">
        <f>IFERROR(INDEX(Produits!$B:$B,MATCH(B563,Produits!$A:$A,0)),"Réf inconnue")</f>
        <v/>
      </c>
      <c r="D563" s="30" t="n">
        <v>40</v>
      </c>
      <c r="E563" s="32">
        <f>IFERROR(INDEX(Produits!$D:$D,MATCH(B563,Produits!$A:$A,0)),0)</f>
        <v/>
      </c>
      <c r="F563" s="34" t="n">
        <v>0</v>
      </c>
      <c r="G563" s="35">
        <f>IFERROR(INDEX(Produits!$E:$E,MATCH(B563,Produits!$A:$A,0)),0)</f>
        <v/>
      </c>
      <c r="H563" s="32">
        <f>ROUND(D563*E563*(1-F563),2)</f>
        <v/>
      </c>
      <c r="I563" s="32">
        <f>ROUND(H563*G563,2)</f>
        <v/>
      </c>
    </row>
    <row r="564">
      <c r="A564" s="30" t="inlineStr">
        <is>
          <t>FA-2026-0162</t>
        </is>
      </c>
      <c r="B564" s="30" t="inlineStr">
        <is>
          <t>OL-V</t>
        </is>
      </c>
      <c r="C564" s="30">
        <f>IFERROR(INDEX(Produits!$B:$B,MATCH(B564,Produits!$A:$A,0)),"Réf inconnue")</f>
        <v/>
      </c>
      <c r="D564" s="30" t="n">
        <v>12</v>
      </c>
      <c r="E564" s="32">
        <f>IFERROR(INDEX(Produits!$D:$D,MATCH(B564,Produits!$A:$A,0)),0)</f>
        <v/>
      </c>
      <c r="F564" s="34" t="n">
        <v>0.05</v>
      </c>
      <c r="G564" s="35">
        <f>IFERROR(INDEX(Produits!$E:$E,MATCH(B564,Produits!$A:$A,0)),0)</f>
        <v/>
      </c>
      <c r="H564" s="32">
        <f>ROUND(D564*E564*(1-F564),2)</f>
        <v/>
      </c>
      <c r="I564" s="32">
        <f>ROUND(H564*G564,2)</f>
        <v/>
      </c>
    </row>
    <row r="565">
      <c r="A565" s="30" t="inlineStr">
        <is>
          <t>FA-2026-0162</t>
        </is>
      </c>
      <c r="B565" s="30" t="inlineStr">
        <is>
          <t>HO-5</t>
        </is>
      </c>
      <c r="C565" s="30">
        <f>IFERROR(INDEX(Produits!$B:$B,MATCH(B565,Produits!$A:$A,0)),"Réf inconnue")</f>
        <v/>
      </c>
      <c r="D565" s="30" t="n">
        <v>34</v>
      </c>
      <c r="E565" s="32">
        <f>IFERROR(INDEX(Produits!$D:$D,MATCH(B565,Produits!$A:$A,0)),0)</f>
        <v/>
      </c>
      <c r="F565" s="34" t="n">
        <v>0.03</v>
      </c>
      <c r="G565" s="35">
        <f>IFERROR(INDEX(Produits!$E:$E,MATCH(B565,Produits!$A:$A,0)),0)</f>
        <v/>
      </c>
      <c r="H565" s="32">
        <f>ROUND(D565*E565*(1-F565),2)</f>
        <v/>
      </c>
      <c r="I565" s="32">
        <f>ROUND(H565*G565,2)</f>
        <v/>
      </c>
    </row>
    <row r="566">
      <c r="A566" s="30" t="inlineStr">
        <is>
          <t>FA-2026-0163</t>
        </is>
      </c>
      <c r="B566" s="30" t="inlineStr">
        <is>
          <t>CF-P</t>
        </is>
      </c>
      <c r="C566" s="30">
        <f>IFERROR(INDEX(Produits!$B:$B,MATCH(B566,Produits!$A:$A,0)),"Réf inconnue")</f>
        <v/>
      </c>
      <c r="D566" s="30" t="n">
        <v>8</v>
      </c>
      <c r="E566" s="32">
        <f>IFERROR(INDEX(Produits!$D:$D,MATCH(B566,Produits!$A:$A,0)),0)</f>
        <v/>
      </c>
      <c r="F566" s="34" t="n">
        <v>0</v>
      </c>
      <c r="G566" s="35">
        <f>IFERROR(INDEX(Produits!$E:$E,MATCH(B566,Produits!$A:$A,0)),0)</f>
        <v/>
      </c>
      <c r="H566" s="32">
        <f>ROUND(D566*E566*(1-F566),2)</f>
        <v/>
      </c>
      <c r="I566" s="32">
        <f>ROUND(H566*G566,2)</f>
        <v/>
      </c>
    </row>
    <row r="567">
      <c r="A567" s="30" t="inlineStr">
        <is>
          <t>FA-2026-0163</t>
        </is>
      </c>
      <c r="B567" s="30" t="inlineStr">
        <is>
          <t>HO-T3</t>
        </is>
      </c>
      <c r="C567" s="30">
        <f>IFERROR(INDEX(Produits!$B:$B,MATCH(B567,Produits!$A:$A,0)),"Réf inconnue")</f>
        <v/>
      </c>
      <c r="D567" s="30" t="n">
        <v>9</v>
      </c>
      <c r="E567" s="32">
        <f>IFERROR(INDEX(Produits!$D:$D,MATCH(B567,Produits!$A:$A,0)),0)</f>
        <v/>
      </c>
      <c r="F567" s="34" t="n">
        <v>0.05</v>
      </c>
      <c r="G567" s="35">
        <f>IFERROR(INDEX(Produits!$E:$E,MATCH(B567,Produits!$A:$A,0)),0)</f>
        <v/>
      </c>
      <c r="H567" s="32">
        <f>ROUND(D567*E567*(1-F567),2)</f>
        <v/>
      </c>
      <c r="I567" s="32">
        <f>ROUND(H567*G567,2)</f>
        <v/>
      </c>
    </row>
    <row r="568">
      <c r="A568" s="30" t="inlineStr">
        <is>
          <t>FA-2026-0163</t>
        </is>
      </c>
      <c r="B568" s="30" t="inlineStr">
        <is>
          <t>CF-D</t>
        </is>
      </c>
      <c r="C568" s="30">
        <f>IFERROR(INDEX(Produits!$B:$B,MATCH(B568,Produits!$A:$A,0)),"Réf inconnue")</f>
        <v/>
      </c>
      <c r="D568" s="30" t="n">
        <v>6</v>
      </c>
      <c r="E568" s="32">
        <f>IFERROR(INDEX(Produits!$D:$D,MATCH(B568,Produits!$A:$A,0)),0)</f>
        <v/>
      </c>
      <c r="F568" s="34" t="n">
        <v>0.05</v>
      </c>
      <c r="G568" s="35">
        <f>IFERROR(INDEX(Produits!$E:$E,MATCH(B568,Produits!$A:$A,0)),0)</f>
        <v/>
      </c>
      <c r="H568" s="32">
        <f>ROUND(D568*E568*(1-F568),2)</f>
        <v/>
      </c>
      <c r="I568" s="32">
        <f>ROUND(H568*G568,2)</f>
        <v/>
      </c>
    </row>
    <row r="569">
      <c r="A569" s="30" t="inlineStr">
        <is>
          <t>FA-2026-0164</t>
        </is>
      </c>
      <c r="B569" s="30" t="inlineStr">
        <is>
          <t>HO-05</t>
        </is>
      </c>
      <c r="C569" s="30">
        <f>IFERROR(INDEX(Produits!$B:$B,MATCH(B569,Produits!$A:$A,0)),"Réf inconnue")</f>
        <v/>
      </c>
      <c r="D569" s="30" t="n">
        <v>28</v>
      </c>
      <c r="E569" s="32">
        <f>IFERROR(INDEX(Produits!$D:$D,MATCH(B569,Produits!$A:$A,0)),0)</f>
        <v/>
      </c>
      <c r="F569" s="34" t="n">
        <v>0</v>
      </c>
      <c r="G569" s="35">
        <f>IFERROR(INDEX(Produits!$E:$E,MATCH(B569,Produits!$A:$A,0)),0)</f>
        <v/>
      </c>
      <c r="H569" s="32">
        <f>ROUND(D569*E569*(1-F569),2)</f>
        <v/>
      </c>
      <c r="I569" s="32">
        <f>ROUND(H569*G569,2)</f>
        <v/>
      </c>
    </row>
    <row r="570">
      <c r="A570" s="30" t="inlineStr">
        <is>
          <t>FA-2026-0164</t>
        </is>
      </c>
      <c r="B570" s="30" t="inlineStr">
        <is>
          <t>HO-1</t>
        </is>
      </c>
      <c r="C570" s="30">
        <f>IFERROR(INDEX(Produits!$B:$B,MATCH(B570,Produits!$A:$A,0)),"Réf inconnue")</f>
        <v/>
      </c>
      <c r="D570" s="30" t="n">
        <v>15</v>
      </c>
      <c r="E570" s="32">
        <f>IFERROR(INDEX(Produits!$D:$D,MATCH(B570,Produits!$A:$A,0)),0)</f>
        <v/>
      </c>
      <c r="F570" s="34" t="n">
        <v>0</v>
      </c>
      <c r="G570" s="35">
        <f>IFERROR(INDEX(Produits!$E:$E,MATCH(B570,Produits!$A:$A,0)),0)</f>
        <v/>
      </c>
      <c r="H570" s="32">
        <f>ROUND(D570*E570*(1-F570),2)</f>
        <v/>
      </c>
      <c r="I570" s="32">
        <f>ROUND(H570*G570,2)</f>
        <v/>
      </c>
    </row>
    <row r="571">
      <c r="A571" s="30" t="inlineStr">
        <is>
          <t>FA-2026-0164</t>
        </is>
      </c>
      <c r="B571" s="30" t="inlineStr">
        <is>
          <t>CF-D</t>
        </is>
      </c>
      <c r="C571" s="30">
        <f>IFERROR(INDEX(Produits!$B:$B,MATCH(B571,Produits!$A:$A,0)),"Réf inconnue")</f>
        <v/>
      </c>
      <c r="D571" s="30" t="n">
        <v>4</v>
      </c>
      <c r="E571" s="32">
        <f>IFERROR(INDEX(Produits!$D:$D,MATCH(B571,Produits!$A:$A,0)),0)</f>
        <v/>
      </c>
      <c r="F571" s="34" t="n">
        <v>0</v>
      </c>
      <c r="G571" s="35">
        <f>IFERROR(INDEX(Produits!$E:$E,MATCH(B571,Produits!$A:$A,0)),0)</f>
        <v/>
      </c>
      <c r="H571" s="32">
        <f>ROUND(D571*E571*(1-F571),2)</f>
        <v/>
      </c>
      <c r="I571" s="32">
        <f>ROUND(H571*G571,2)</f>
        <v/>
      </c>
    </row>
    <row r="572">
      <c r="A572" s="30" t="inlineStr">
        <is>
          <t>FA-2026-0164</t>
        </is>
      </c>
      <c r="B572" s="30" t="inlineStr">
        <is>
          <t>TP-O</t>
        </is>
      </c>
      <c r="C572" s="30">
        <f>IFERROR(INDEX(Produits!$B:$B,MATCH(B572,Produits!$A:$A,0)),"Réf inconnue")</f>
        <v/>
      </c>
      <c r="D572" s="30" t="n">
        <v>32</v>
      </c>
      <c r="E572" s="32">
        <f>IFERROR(INDEX(Produits!$D:$D,MATCH(B572,Produits!$A:$A,0)),0)</f>
        <v/>
      </c>
      <c r="F572" s="34" t="n">
        <v>0</v>
      </c>
      <c r="G572" s="35">
        <f>IFERROR(INDEX(Produits!$E:$E,MATCH(B572,Produits!$A:$A,0)),0)</f>
        <v/>
      </c>
      <c r="H572" s="32">
        <f>ROUND(D572*E572*(1-F572),2)</f>
        <v/>
      </c>
      <c r="I572" s="32">
        <f>ROUND(H572*G572,2)</f>
        <v/>
      </c>
    </row>
    <row r="573">
      <c r="A573" s="30" t="inlineStr">
        <is>
          <t>FA-2026-0164</t>
        </is>
      </c>
      <c r="B573" s="30" t="inlineStr">
        <is>
          <t>SV-O</t>
        </is>
      </c>
      <c r="C573" s="30">
        <f>IFERROR(INDEX(Produits!$B:$B,MATCH(B573,Produits!$A:$A,0)),"Réf inconnue")</f>
        <v/>
      </c>
      <c r="D573" s="30" t="n">
        <v>21</v>
      </c>
      <c r="E573" s="32">
        <f>IFERROR(INDEX(Produits!$D:$D,MATCH(B573,Produits!$A:$A,0)),0)</f>
        <v/>
      </c>
      <c r="F573" s="34" t="n">
        <v>0</v>
      </c>
      <c r="G573" s="35">
        <f>IFERROR(INDEX(Produits!$E:$E,MATCH(B573,Produits!$A:$A,0)),0)</f>
        <v/>
      </c>
      <c r="H573" s="32">
        <f>ROUND(D573*E573*(1-F573),2)</f>
        <v/>
      </c>
      <c r="I573" s="32">
        <f>ROUND(H573*G573,2)</f>
        <v/>
      </c>
    </row>
    <row r="574">
      <c r="A574" s="30" t="inlineStr">
        <is>
          <t>FA-2026-0165</t>
        </is>
      </c>
      <c r="B574" s="30" t="inlineStr">
        <is>
          <t>SV-O</t>
        </is>
      </c>
      <c r="C574" s="30">
        <f>IFERROR(INDEX(Produits!$B:$B,MATCH(B574,Produits!$A:$A,0)),"Réf inconnue")</f>
        <v/>
      </c>
      <c r="D574" s="30" t="n">
        <v>26</v>
      </c>
      <c r="E574" s="32">
        <f>IFERROR(INDEX(Produits!$D:$D,MATCH(B574,Produits!$A:$A,0)),0)</f>
        <v/>
      </c>
      <c r="F574" s="34" t="n">
        <v>0</v>
      </c>
      <c r="G574" s="35">
        <f>IFERROR(INDEX(Produits!$E:$E,MATCH(B574,Produits!$A:$A,0)),0)</f>
        <v/>
      </c>
      <c r="H574" s="32">
        <f>ROUND(D574*E574*(1-F574),2)</f>
        <v/>
      </c>
      <c r="I574" s="32">
        <f>ROUND(H574*G574,2)</f>
        <v/>
      </c>
    </row>
    <row r="575">
      <c r="A575" s="30" t="inlineStr">
        <is>
          <t>FA-2026-0165</t>
        </is>
      </c>
      <c r="B575" s="30" t="inlineStr">
        <is>
          <t>OL-V</t>
        </is>
      </c>
      <c r="C575" s="30">
        <f>IFERROR(INDEX(Produits!$B:$B,MATCH(B575,Produits!$A:$A,0)),"Réf inconnue")</f>
        <v/>
      </c>
      <c r="D575" s="30" t="n">
        <v>26</v>
      </c>
      <c r="E575" s="32">
        <f>IFERROR(INDEX(Produits!$D:$D,MATCH(B575,Produits!$A:$A,0)),0)</f>
        <v/>
      </c>
      <c r="F575" s="34" t="n">
        <v>0</v>
      </c>
      <c r="G575" s="35">
        <f>IFERROR(INDEX(Produits!$E:$E,MATCH(B575,Produits!$A:$A,0)),0)</f>
        <v/>
      </c>
      <c r="H575" s="32">
        <f>ROUND(D575*E575*(1-F575),2)</f>
        <v/>
      </c>
      <c r="I575" s="32">
        <f>ROUND(H575*G575,2)</f>
        <v/>
      </c>
    </row>
    <row r="576">
      <c r="A576" s="30" t="inlineStr">
        <is>
          <t>FA-2026-0165</t>
        </is>
      </c>
      <c r="B576" s="30" t="inlineStr">
        <is>
          <t>CF-P</t>
        </is>
      </c>
      <c r="C576" s="30">
        <f>IFERROR(INDEX(Produits!$B:$B,MATCH(B576,Produits!$A:$A,0)),"Réf inconnue")</f>
        <v/>
      </c>
      <c r="D576" s="30" t="n">
        <v>4</v>
      </c>
      <c r="E576" s="32">
        <f>IFERROR(INDEX(Produits!$D:$D,MATCH(B576,Produits!$A:$A,0)),0)</f>
        <v/>
      </c>
      <c r="F576" s="34" t="n">
        <v>0</v>
      </c>
      <c r="G576" s="35">
        <f>IFERROR(INDEX(Produits!$E:$E,MATCH(B576,Produits!$A:$A,0)),0)</f>
        <v/>
      </c>
      <c r="H576" s="32">
        <f>ROUND(D576*E576*(1-F576),2)</f>
        <v/>
      </c>
      <c r="I576" s="32">
        <f>ROUND(H576*G576,2)</f>
        <v/>
      </c>
    </row>
    <row r="577">
      <c r="A577" s="30" t="inlineStr">
        <is>
          <t>FA-2026-0166</t>
        </is>
      </c>
      <c r="B577" s="30" t="inlineStr">
        <is>
          <t>HO-05</t>
        </is>
      </c>
      <c r="C577" s="30">
        <f>IFERROR(INDEX(Produits!$B:$B,MATCH(B577,Produits!$A:$A,0)),"Réf inconnue")</f>
        <v/>
      </c>
      <c r="D577" s="30" t="n">
        <v>2</v>
      </c>
      <c r="E577" s="32">
        <f>IFERROR(INDEX(Produits!$D:$D,MATCH(B577,Produits!$A:$A,0)),0)</f>
        <v/>
      </c>
      <c r="F577" s="34" t="n">
        <v>0</v>
      </c>
      <c r="G577" s="35">
        <f>IFERROR(INDEX(Produits!$E:$E,MATCH(B577,Produits!$A:$A,0)),0)</f>
        <v/>
      </c>
      <c r="H577" s="32">
        <f>ROUND(D577*E577*(1-F577),2)</f>
        <v/>
      </c>
      <c r="I577" s="32">
        <f>ROUND(H577*G577,2)</f>
        <v/>
      </c>
    </row>
    <row r="578">
      <c r="A578" s="30" t="inlineStr">
        <is>
          <t>FA-2026-0166</t>
        </is>
      </c>
      <c r="B578" s="30" t="inlineStr">
        <is>
          <t>SV-O</t>
        </is>
      </c>
      <c r="C578" s="30">
        <f>IFERROR(INDEX(Produits!$B:$B,MATCH(B578,Produits!$A:$A,0)),"Réf inconnue")</f>
        <v/>
      </c>
      <c r="D578" s="30" t="n">
        <v>6</v>
      </c>
      <c r="E578" s="32">
        <f>IFERROR(INDEX(Produits!$D:$D,MATCH(B578,Produits!$A:$A,0)),0)</f>
        <v/>
      </c>
      <c r="F578" s="34" t="n">
        <v>0</v>
      </c>
      <c r="G578" s="35">
        <f>IFERROR(INDEX(Produits!$E:$E,MATCH(B578,Produits!$A:$A,0)),0)</f>
        <v/>
      </c>
      <c r="H578" s="32">
        <f>ROUND(D578*E578*(1-F578),2)</f>
        <v/>
      </c>
      <c r="I578" s="32">
        <f>ROUND(H578*G578,2)</f>
        <v/>
      </c>
    </row>
    <row r="579">
      <c r="A579" s="30" t="inlineStr">
        <is>
          <t>FA-2026-0166</t>
        </is>
      </c>
      <c r="B579" s="30" t="inlineStr">
        <is>
          <t>HO-5</t>
        </is>
      </c>
      <c r="C579" s="30">
        <f>IFERROR(INDEX(Produits!$B:$B,MATCH(B579,Produits!$A:$A,0)),"Réf inconnue")</f>
        <v/>
      </c>
      <c r="D579" s="30" t="n">
        <v>9</v>
      </c>
      <c r="E579" s="32">
        <f>IFERROR(INDEX(Produits!$D:$D,MATCH(B579,Produits!$A:$A,0)),0)</f>
        <v/>
      </c>
      <c r="F579" s="34" t="n">
        <v>0</v>
      </c>
      <c r="G579" s="35">
        <f>IFERROR(INDEX(Produits!$E:$E,MATCH(B579,Produits!$A:$A,0)),0)</f>
        <v/>
      </c>
      <c r="H579" s="32">
        <f>ROUND(D579*E579*(1-F579),2)</f>
        <v/>
      </c>
      <c r="I579" s="32">
        <f>ROUND(H579*G579,2)</f>
        <v/>
      </c>
    </row>
    <row r="580">
      <c r="A580" s="30" t="inlineStr">
        <is>
          <t>FA-2026-0167</t>
        </is>
      </c>
      <c r="B580" s="30" t="inlineStr">
        <is>
          <t>CF-P</t>
        </is>
      </c>
      <c r="C580" s="30">
        <f>IFERROR(INDEX(Produits!$B:$B,MATCH(B580,Produits!$A:$A,0)),"Réf inconnue")</f>
        <v/>
      </c>
      <c r="D580" s="30" t="n">
        <v>6</v>
      </c>
      <c r="E580" s="32">
        <f>IFERROR(INDEX(Produits!$D:$D,MATCH(B580,Produits!$A:$A,0)),0)</f>
        <v/>
      </c>
      <c r="F580" s="34" t="n">
        <v>0</v>
      </c>
      <c r="G580" s="35">
        <f>IFERROR(INDEX(Produits!$E:$E,MATCH(B580,Produits!$A:$A,0)),0)</f>
        <v/>
      </c>
      <c r="H580" s="32">
        <f>ROUND(D580*E580*(1-F580),2)</f>
        <v/>
      </c>
      <c r="I580" s="32">
        <f>ROUND(H580*G580,2)</f>
        <v/>
      </c>
    </row>
    <row r="581">
      <c r="A581" s="30" t="inlineStr">
        <is>
          <t>FA-2026-0167</t>
        </is>
      </c>
      <c r="B581" s="30" t="inlineStr">
        <is>
          <t>HO-T3</t>
        </is>
      </c>
      <c r="C581" s="30">
        <f>IFERROR(INDEX(Produits!$B:$B,MATCH(B581,Produits!$A:$A,0)),"Réf inconnue")</f>
        <v/>
      </c>
      <c r="D581" s="30" t="n">
        <v>18</v>
      </c>
      <c r="E581" s="32">
        <f>IFERROR(INDEX(Produits!$D:$D,MATCH(B581,Produits!$A:$A,0)),0)</f>
        <v/>
      </c>
      <c r="F581" s="34" t="n">
        <v>0</v>
      </c>
      <c r="G581" s="35">
        <f>IFERROR(INDEX(Produits!$E:$E,MATCH(B581,Produits!$A:$A,0)),0)</f>
        <v/>
      </c>
      <c r="H581" s="32">
        <f>ROUND(D581*E581*(1-F581),2)</f>
        <v/>
      </c>
      <c r="I581" s="32">
        <f>ROUND(H581*G581,2)</f>
        <v/>
      </c>
    </row>
    <row r="582">
      <c r="A582" s="30" t="inlineStr">
        <is>
          <t>FA-2026-0167</t>
        </is>
      </c>
      <c r="B582" s="30" t="inlineStr">
        <is>
          <t>OL-V</t>
        </is>
      </c>
      <c r="C582" s="30">
        <f>IFERROR(INDEX(Produits!$B:$B,MATCH(B582,Produits!$A:$A,0)),"Réf inconnue")</f>
        <v/>
      </c>
      <c r="D582" s="30" t="n">
        <v>34</v>
      </c>
      <c r="E582" s="32">
        <f>IFERROR(INDEX(Produits!$D:$D,MATCH(B582,Produits!$A:$A,0)),0)</f>
        <v/>
      </c>
      <c r="F582" s="34" t="n">
        <v>0.03</v>
      </c>
      <c r="G582" s="35">
        <f>IFERROR(INDEX(Produits!$E:$E,MATCH(B582,Produits!$A:$A,0)),0)</f>
        <v/>
      </c>
      <c r="H582" s="32">
        <f>ROUND(D582*E582*(1-F582),2)</f>
        <v/>
      </c>
      <c r="I582" s="32">
        <f>ROUND(H582*G582,2)</f>
        <v/>
      </c>
    </row>
    <row r="583">
      <c r="A583" s="30" t="inlineStr">
        <is>
          <t>FA-2026-0167</t>
        </is>
      </c>
      <c r="B583" s="30" t="inlineStr">
        <is>
          <t>OL-N</t>
        </is>
      </c>
      <c r="C583" s="30">
        <f>IFERROR(INDEX(Produits!$B:$B,MATCH(B583,Produits!$A:$A,0)),"Réf inconnue")</f>
        <v/>
      </c>
      <c r="D583" s="30" t="n">
        <v>12</v>
      </c>
      <c r="E583" s="32">
        <f>IFERROR(INDEX(Produits!$D:$D,MATCH(B583,Produits!$A:$A,0)),0)</f>
        <v/>
      </c>
      <c r="F583" s="34" t="n">
        <v>0.03</v>
      </c>
      <c r="G583" s="35">
        <f>IFERROR(INDEX(Produits!$E:$E,MATCH(B583,Produits!$A:$A,0)),0)</f>
        <v/>
      </c>
      <c r="H583" s="32">
        <f>ROUND(D583*E583*(1-F583),2)</f>
        <v/>
      </c>
      <c r="I583" s="32">
        <f>ROUND(H583*G583,2)</f>
        <v/>
      </c>
    </row>
    <row r="584">
      <c r="A584" s="30" t="inlineStr">
        <is>
          <t>FA-2026-0167</t>
        </is>
      </c>
      <c r="B584" s="30" t="inlineStr">
        <is>
          <t>CF-D</t>
        </is>
      </c>
      <c r="C584" s="30">
        <f>IFERROR(INDEX(Produits!$B:$B,MATCH(B584,Produits!$A:$A,0)),"Réf inconnue")</f>
        <v/>
      </c>
      <c r="D584" s="30" t="n">
        <v>6</v>
      </c>
      <c r="E584" s="32">
        <f>IFERROR(INDEX(Produits!$D:$D,MATCH(B584,Produits!$A:$A,0)),0)</f>
        <v/>
      </c>
      <c r="F584" s="34" t="n">
        <v>0.05</v>
      </c>
      <c r="G584" s="35">
        <f>IFERROR(INDEX(Produits!$E:$E,MATCH(B584,Produits!$A:$A,0)),0)</f>
        <v/>
      </c>
      <c r="H584" s="32">
        <f>ROUND(D584*E584*(1-F584),2)</f>
        <v/>
      </c>
      <c r="I584" s="32">
        <f>ROUND(H584*G584,2)</f>
        <v/>
      </c>
    </row>
  </sheetData>
  <dataValidations count="2">
    <dataValidation sqref="B2:B784" showDropDown="0" showInputMessage="0" showErrorMessage="0" allowBlank="1" type="list">
      <formula1>Produits!$A$2:$A$11</formula1>
    </dataValidation>
    <dataValidation sqref="A2:A784" showDropDown="0" showInputMessage="0" showErrorMessage="0" allowBlank="1" type="list">
      <formula1>Factures!$A$2:$A$268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D0CCBE"/>
    <outlinePr summaryBelow="1" summaryRight="1"/>
    <pageSetUpPr/>
  </sheetPr>
  <dimension ref="A1:E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30" customWidth="1" min="3" max="3"/>
    <col width="16" customWidth="1" min="4" max="4"/>
    <col width="15" customWidth="1" min="5" max="5"/>
  </cols>
  <sheetData>
    <row r="1" ht="30" customHeight="1">
      <c r="A1" s="29" t="inlineStr">
        <is>
          <t>Date</t>
        </is>
      </c>
      <c r="B1" s="29" t="inlineStr">
        <is>
          <t>N° facture</t>
        </is>
      </c>
      <c r="C1" s="29" t="inlineStr">
        <is>
          <t>Client</t>
        </is>
      </c>
      <c r="D1" s="29" t="inlineStr">
        <is>
          <t>Mode</t>
        </is>
      </c>
      <c r="E1" s="29" t="inlineStr">
        <is>
          <t>Montant</t>
        </is>
      </c>
    </row>
    <row r="2">
      <c r="A2" s="31" t="n">
        <v>46042</v>
      </c>
      <c r="B2" s="30" t="inlineStr">
        <is>
          <t>FA-2026-0004</t>
        </is>
      </c>
      <c r="C2" s="30">
        <f>IFERROR(INDEX(Factures!$D:$D,MATCH(B2,Factures!$A:$A,0)),"Facture inconnue")</f>
        <v/>
      </c>
      <c r="D2" s="30" t="inlineStr">
        <is>
          <t>Virement</t>
        </is>
      </c>
      <c r="E2" s="32" t="n">
        <v>174504.69</v>
      </c>
    </row>
    <row r="3">
      <c r="A3" s="31" t="n">
        <v>46044</v>
      </c>
      <c r="B3" s="30" t="inlineStr">
        <is>
          <t>FA-2026-0008</t>
        </is>
      </c>
      <c r="C3" s="30">
        <f>IFERROR(INDEX(Factures!$D:$D,MATCH(B3,Factures!$A:$A,0)),"Facture inconnue")</f>
        <v/>
      </c>
      <c r="D3" s="30" t="inlineStr">
        <is>
          <t>CCP / BaridiMob</t>
        </is>
      </c>
      <c r="E3" s="32" t="n">
        <v>92346</v>
      </c>
    </row>
    <row r="4">
      <c r="A4" s="31" t="n">
        <v>46046</v>
      </c>
      <c r="B4" s="30" t="inlineStr">
        <is>
          <t>FA-2026-0006</t>
        </is>
      </c>
      <c r="C4" s="30">
        <f>IFERROR(INDEX(Factures!$D:$D,MATCH(B4,Factures!$A:$A,0)),"Facture inconnue")</f>
        <v/>
      </c>
      <c r="D4" s="30" t="inlineStr">
        <is>
          <t>Espèces</t>
        </is>
      </c>
      <c r="E4" s="32" t="n">
        <v>165473.5</v>
      </c>
    </row>
    <row r="5">
      <c r="A5" s="31" t="n">
        <v>46051</v>
      </c>
      <c r="B5" s="30" t="inlineStr">
        <is>
          <t>FA-2026-0010</t>
        </is>
      </c>
      <c r="C5" s="30">
        <f>IFERROR(INDEX(Factures!$D:$D,MATCH(B5,Factures!$A:$A,0)),"Facture inconnue")</f>
        <v/>
      </c>
      <c r="D5" s="30" t="inlineStr">
        <is>
          <t>Chèque</t>
        </is>
      </c>
      <c r="E5" s="32" t="n">
        <v>22004</v>
      </c>
    </row>
    <row r="6">
      <c r="A6" s="31" t="n">
        <v>46054</v>
      </c>
      <c r="B6" s="30" t="inlineStr">
        <is>
          <t>FA-2026-0015</t>
        </is>
      </c>
      <c r="C6" s="30">
        <f>IFERROR(INDEX(Factures!$D:$D,MATCH(B6,Factures!$A:$A,0)),"Facture inconnue")</f>
        <v/>
      </c>
      <c r="D6" s="30" t="inlineStr">
        <is>
          <t>Espèces</t>
        </is>
      </c>
      <c r="E6" s="32" t="n">
        <v>43239.3</v>
      </c>
    </row>
    <row r="7">
      <c r="A7" s="31" t="n">
        <v>46057</v>
      </c>
      <c r="B7" s="30" t="inlineStr">
        <is>
          <t>FA-2026-0007</t>
        </is>
      </c>
      <c r="C7" s="30">
        <f>IFERROR(INDEX(Factures!$D:$D,MATCH(B7,Factures!$A:$A,0)),"Facture inconnue")</f>
        <v/>
      </c>
      <c r="D7" s="30" t="inlineStr">
        <is>
          <t>Virement</t>
        </is>
      </c>
      <c r="E7" s="32" t="n">
        <v>91260.5</v>
      </c>
    </row>
    <row r="8">
      <c r="A8" s="31" t="n">
        <v>46060</v>
      </c>
      <c r="B8" s="30" t="inlineStr">
        <is>
          <t>FA-2026-0005</t>
        </is>
      </c>
      <c r="C8" s="30">
        <f>IFERROR(INDEX(Factures!$D:$D,MATCH(B8,Factures!$A:$A,0)),"Facture inconnue")</f>
        <v/>
      </c>
      <c r="D8" s="30" t="inlineStr">
        <is>
          <t>Espèces</t>
        </is>
      </c>
      <c r="E8" s="32" t="n">
        <v>6387.4</v>
      </c>
    </row>
    <row r="9">
      <c r="A9" s="31" t="n">
        <v>46064</v>
      </c>
      <c r="B9" s="30" t="inlineStr">
        <is>
          <t>FA-2026-0013</t>
        </is>
      </c>
      <c r="C9" s="30">
        <f>IFERROR(INDEX(Factures!$D:$D,MATCH(B9,Factures!$A:$A,0)),"Facture inconnue")</f>
        <v/>
      </c>
      <c r="D9" s="30" t="inlineStr">
        <is>
          <t>Chèque</t>
        </is>
      </c>
      <c r="E9" s="32" t="n">
        <v>35248.2</v>
      </c>
    </row>
    <row r="10">
      <c r="A10" s="31" t="n">
        <v>46065</v>
      </c>
      <c r="B10" s="30" t="inlineStr">
        <is>
          <t>FA-2026-0009</t>
        </is>
      </c>
      <c r="C10" s="30">
        <f>IFERROR(INDEX(Factures!$D:$D,MATCH(B10,Factures!$A:$A,0)),"Facture inconnue")</f>
        <v/>
      </c>
      <c r="D10" s="30" t="inlineStr">
        <is>
          <t>CCP / BaridiMob</t>
        </is>
      </c>
      <c r="E10" s="32" t="n">
        <v>141643.1</v>
      </c>
    </row>
    <row r="11">
      <c r="A11" s="31" t="n">
        <v>46065</v>
      </c>
      <c r="B11" s="30" t="inlineStr">
        <is>
          <t>FA-2026-0019</t>
        </is>
      </c>
      <c r="C11" s="30">
        <f>IFERROR(INDEX(Factures!$D:$D,MATCH(B11,Factures!$A:$A,0)),"Facture inconnue")</f>
        <v/>
      </c>
      <c r="D11" s="30" t="inlineStr">
        <is>
          <t>Espèces</t>
        </is>
      </c>
      <c r="E11" s="32" t="n">
        <v>107748.13</v>
      </c>
    </row>
    <row r="12">
      <c r="A12" s="31" t="n">
        <v>46068</v>
      </c>
      <c r="B12" s="30" t="inlineStr">
        <is>
          <t>FA-2026-0011</t>
        </is>
      </c>
      <c r="C12" s="30">
        <f>IFERROR(INDEX(Factures!$D:$D,MATCH(B12,Factures!$A:$A,0)),"Facture inconnue")</f>
        <v/>
      </c>
      <c r="D12" s="30" t="inlineStr">
        <is>
          <t>CCP / BaridiMob</t>
        </is>
      </c>
      <c r="E12" s="32" t="n">
        <v>104597.7</v>
      </c>
    </row>
    <row r="13">
      <c r="A13" s="31" t="n">
        <v>46069</v>
      </c>
      <c r="B13" s="30" t="inlineStr">
        <is>
          <t>FA-2026-0018</t>
        </is>
      </c>
      <c r="C13" s="30">
        <f>IFERROR(INDEX(Factures!$D:$D,MATCH(B13,Factures!$A:$A,0)),"Facture inconnue")</f>
        <v/>
      </c>
      <c r="D13" s="30" t="inlineStr">
        <is>
          <t>Chèque</t>
        </is>
      </c>
      <c r="E13" s="32" t="n">
        <v>23729.3</v>
      </c>
    </row>
    <row r="14">
      <c r="A14" s="31" t="n">
        <v>46071</v>
      </c>
      <c r="B14" s="30" t="inlineStr">
        <is>
          <t>FA-2026-0020</t>
        </is>
      </c>
      <c r="C14" s="30">
        <f>IFERROR(INDEX(Factures!$D:$D,MATCH(B14,Factures!$A:$A,0)),"Facture inconnue")</f>
        <v/>
      </c>
      <c r="D14" s="30" t="inlineStr">
        <is>
          <t>Chèque</t>
        </is>
      </c>
      <c r="E14" s="32" t="n">
        <v>204373.2</v>
      </c>
    </row>
    <row r="15">
      <c r="A15" s="31" t="n">
        <v>46072</v>
      </c>
      <c r="B15" s="30" t="inlineStr">
        <is>
          <t>FA-2026-0003</t>
        </is>
      </c>
      <c r="C15" s="30">
        <f>IFERROR(INDEX(Factures!$D:$D,MATCH(B15,Factures!$A:$A,0)),"Facture inconnue")</f>
        <v/>
      </c>
      <c r="D15" s="30" t="inlineStr">
        <is>
          <t>Virement</t>
        </is>
      </c>
      <c r="E15" s="32" t="n">
        <v>59923.84</v>
      </c>
    </row>
    <row r="16">
      <c r="A16" s="31" t="n">
        <v>46075</v>
      </c>
      <c r="B16" s="30" t="inlineStr">
        <is>
          <t>FA-2026-0016</t>
        </is>
      </c>
      <c r="C16" s="30">
        <f>IFERROR(INDEX(Factures!$D:$D,MATCH(B16,Factures!$A:$A,0)),"Facture inconnue")</f>
        <v/>
      </c>
      <c r="D16" s="30" t="inlineStr">
        <is>
          <t>Espèces</t>
        </is>
      </c>
      <c r="E16" s="32" t="n">
        <v>133699</v>
      </c>
    </row>
    <row r="17">
      <c r="A17" s="31" t="n">
        <v>46087</v>
      </c>
      <c r="B17" s="30" t="inlineStr">
        <is>
          <t>FA-2026-0034</t>
        </is>
      </c>
      <c r="C17" s="30">
        <f>IFERROR(INDEX(Factures!$D:$D,MATCH(B17,Factures!$A:$A,0)),"Facture inconnue")</f>
        <v/>
      </c>
      <c r="D17" s="30" t="inlineStr">
        <is>
          <t>CCP / BaridiMob</t>
        </is>
      </c>
      <c r="E17" s="32" t="n">
        <v>28470.8</v>
      </c>
    </row>
    <row r="18">
      <c r="A18" s="31" t="n">
        <v>46088</v>
      </c>
      <c r="B18" s="30" t="inlineStr">
        <is>
          <t>FA-2026-0014</t>
        </is>
      </c>
      <c r="C18" s="30">
        <f>IFERROR(INDEX(Factures!$D:$D,MATCH(B18,Factures!$A:$A,0)),"Facture inconnue")</f>
        <v/>
      </c>
      <c r="D18" s="30" t="inlineStr">
        <is>
          <t>CCP / BaridiMob</t>
        </is>
      </c>
      <c r="E18" s="32" t="n">
        <v>85277.60000000001</v>
      </c>
    </row>
    <row r="19">
      <c r="A19" s="31" t="n">
        <v>46090</v>
      </c>
      <c r="B19" s="30" t="inlineStr">
        <is>
          <t>FA-2026-0035</t>
        </is>
      </c>
      <c r="C19" s="30">
        <f>IFERROR(INDEX(Factures!$D:$D,MATCH(B19,Factures!$A:$A,0)),"Facture inconnue")</f>
        <v/>
      </c>
      <c r="D19" s="30" t="inlineStr">
        <is>
          <t>Espèces</t>
        </is>
      </c>
      <c r="E19" s="32" t="n">
        <v>232950</v>
      </c>
    </row>
    <row r="20">
      <c r="A20" s="31" t="n">
        <v>46091</v>
      </c>
      <c r="B20" s="30" t="inlineStr">
        <is>
          <t>FA-2026-0030</t>
        </is>
      </c>
      <c r="C20" s="30">
        <f>IFERROR(INDEX(Factures!$D:$D,MATCH(B20,Factures!$A:$A,0)),"Facture inconnue")</f>
        <v/>
      </c>
      <c r="D20" s="30" t="inlineStr">
        <is>
          <t>Virement</t>
        </is>
      </c>
      <c r="E20" s="32" t="n">
        <v>149979.45</v>
      </c>
    </row>
    <row r="21">
      <c r="A21" s="31" t="n">
        <v>46092</v>
      </c>
      <c r="B21" s="30" t="inlineStr">
        <is>
          <t>FA-2026-0029</t>
        </is>
      </c>
      <c r="C21" s="30">
        <f>IFERROR(INDEX(Factures!$D:$D,MATCH(B21,Factures!$A:$A,0)),"Facture inconnue")</f>
        <v/>
      </c>
      <c r="D21" s="30" t="inlineStr">
        <is>
          <t>Virement</t>
        </is>
      </c>
      <c r="E21" s="32" t="n">
        <v>510076.4</v>
      </c>
    </row>
    <row r="22">
      <c r="A22" s="31" t="n">
        <v>46093</v>
      </c>
      <c r="B22" s="30" t="inlineStr">
        <is>
          <t>FA-2026-0027</t>
        </is>
      </c>
      <c r="C22" s="30">
        <f>IFERROR(INDEX(Factures!$D:$D,MATCH(B22,Factures!$A:$A,0)),"Facture inconnue")</f>
        <v/>
      </c>
      <c r="D22" s="30" t="inlineStr">
        <is>
          <t>Virement</t>
        </is>
      </c>
      <c r="E22" s="32" t="n">
        <v>157800</v>
      </c>
    </row>
    <row r="23">
      <c r="A23" s="31" t="n">
        <v>46093</v>
      </c>
      <c r="B23" s="30" t="inlineStr">
        <is>
          <t>FA-2026-0039</t>
        </is>
      </c>
      <c r="C23" s="30">
        <f>IFERROR(INDEX(Factures!$D:$D,MATCH(B23,Factures!$A:$A,0)),"Facture inconnue")</f>
        <v/>
      </c>
      <c r="D23" s="30" t="inlineStr">
        <is>
          <t>Espèces</t>
        </is>
      </c>
      <c r="E23" s="32" t="n">
        <v>48656.62</v>
      </c>
    </row>
    <row r="24">
      <c r="A24" s="31" t="n">
        <v>46094</v>
      </c>
      <c r="B24" s="30" t="inlineStr">
        <is>
          <t>FA-2026-0001</t>
        </is>
      </c>
      <c r="C24" s="30">
        <f>IFERROR(INDEX(Factures!$D:$D,MATCH(B24,Factures!$A:$A,0)),"Facture inconnue")</f>
        <v/>
      </c>
      <c r="D24" s="30" t="inlineStr">
        <is>
          <t>Chèque</t>
        </is>
      </c>
      <c r="E24" s="32" t="n">
        <v>36557.4</v>
      </c>
    </row>
    <row r="25">
      <c r="A25" s="31" t="n">
        <v>46098</v>
      </c>
      <c r="B25" s="30" t="inlineStr">
        <is>
          <t>FA-2026-0025</t>
        </is>
      </c>
      <c r="C25" s="30">
        <f>IFERROR(INDEX(Factures!$D:$D,MATCH(B25,Factures!$A:$A,0)),"Facture inconnue")</f>
        <v/>
      </c>
      <c r="D25" s="30" t="inlineStr">
        <is>
          <t>Chèque</t>
        </is>
      </c>
      <c r="E25" s="32" t="n">
        <v>26418</v>
      </c>
    </row>
    <row r="26">
      <c r="A26" s="31" t="n">
        <v>46099</v>
      </c>
      <c r="B26" s="30" t="inlineStr">
        <is>
          <t>FA-2026-0041</t>
        </is>
      </c>
      <c r="C26" s="30">
        <f>IFERROR(INDEX(Factures!$D:$D,MATCH(B26,Factures!$A:$A,0)),"Facture inconnue")</f>
        <v/>
      </c>
      <c r="D26" s="30" t="inlineStr">
        <is>
          <t>Chèque</t>
        </is>
      </c>
      <c r="E26" s="32" t="n">
        <v>36068.1</v>
      </c>
    </row>
    <row r="27">
      <c r="A27" s="31" t="n">
        <v>46102</v>
      </c>
      <c r="B27" s="30" t="inlineStr">
        <is>
          <t>FA-2026-0031</t>
        </is>
      </c>
      <c r="C27" s="30">
        <f>IFERROR(INDEX(Factures!$D:$D,MATCH(B27,Factures!$A:$A,0)),"Facture inconnue")</f>
        <v/>
      </c>
      <c r="D27" s="30" t="inlineStr">
        <is>
          <t>Espèces</t>
        </is>
      </c>
      <c r="E27" s="32" t="n">
        <v>37301.6</v>
      </c>
    </row>
    <row r="28">
      <c r="A28" s="31" t="n">
        <v>46102</v>
      </c>
      <c r="B28" s="30" t="inlineStr">
        <is>
          <t>FA-2026-0037</t>
        </is>
      </c>
      <c r="C28" s="30">
        <f>IFERROR(INDEX(Factures!$D:$D,MATCH(B28,Factures!$A:$A,0)),"Facture inconnue")</f>
        <v/>
      </c>
      <c r="D28" s="30" t="inlineStr">
        <is>
          <t>Espèces</t>
        </is>
      </c>
      <c r="E28" s="32" t="n">
        <v>487565.18</v>
      </c>
    </row>
    <row r="29">
      <c r="A29" s="31" t="n">
        <v>46105</v>
      </c>
      <c r="B29" s="30" t="inlineStr">
        <is>
          <t>FA-2026-0040</t>
        </is>
      </c>
      <c r="C29" s="30">
        <f>IFERROR(INDEX(Factures!$D:$D,MATCH(B29,Factures!$A:$A,0)),"Facture inconnue")</f>
        <v/>
      </c>
      <c r="D29" s="30" t="inlineStr">
        <is>
          <t>Chèque</t>
        </is>
      </c>
      <c r="E29" s="32" t="n">
        <v>193082.6</v>
      </c>
    </row>
    <row r="30">
      <c r="A30" s="31" t="n">
        <v>46110</v>
      </c>
      <c r="B30" s="30" t="inlineStr">
        <is>
          <t>FA-2026-0033</t>
        </is>
      </c>
      <c r="C30" s="30">
        <f>IFERROR(INDEX(Factures!$D:$D,MATCH(B30,Factures!$A:$A,0)),"Facture inconnue")</f>
        <v/>
      </c>
      <c r="D30" s="30" t="inlineStr">
        <is>
          <t>Espèces</t>
        </is>
      </c>
      <c r="E30" s="32" t="n">
        <v>206826.4</v>
      </c>
    </row>
    <row r="31">
      <c r="A31" s="31" t="n">
        <v>46110</v>
      </c>
      <c r="B31" s="30" t="inlineStr">
        <is>
          <t>FA-2026-0042</t>
        </is>
      </c>
      <c r="C31" s="30">
        <f>IFERROR(INDEX(Factures!$D:$D,MATCH(B31,Factures!$A:$A,0)),"Facture inconnue")</f>
        <v/>
      </c>
      <c r="D31" s="30" t="inlineStr">
        <is>
          <t>Chèque</t>
        </is>
      </c>
      <c r="E31" s="32" t="n">
        <v>508296.43</v>
      </c>
    </row>
    <row r="32">
      <c r="A32" s="31" t="n">
        <v>46111</v>
      </c>
      <c r="B32" s="30" t="inlineStr">
        <is>
          <t>FA-2026-0023</t>
        </is>
      </c>
      <c r="C32" s="30">
        <f>IFERROR(INDEX(Factures!$D:$D,MATCH(B32,Factures!$A:$A,0)),"Facture inconnue")</f>
        <v/>
      </c>
      <c r="D32" s="30" t="inlineStr">
        <is>
          <t>Espèces</t>
        </is>
      </c>
      <c r="E32" s="32" t="n">
        <v>143061.8</v>
      </c>
    </row>
    <row r="33">
      <c r="A33" s="31" t="n">
        <v>46111</v>
      </c>
      <c r="B33" s="30" t="inlineStr">
        <is>
          <t>FA-2026-0036</t>
        </is>
      </c>
      <c r="C33" s="30">
        <f>IFERROR(INDEX(Factures!$D:$D,MATCH(B33,Factures!$A:$A,0)),"Facture inconnue")</f>
        <v/>
      </c>
      <c r="D33" s="30" t="inlineStr">
        <is>
          <t>Chèque</t>
        </is>
      </c>
      <c r="E33" s="32" t="n">
        <v>56538.3</v>
      </c>
    </row>
    <row r="34">
      <c r="A34" s="31" t="n">
        <v>46113</v>
      </c>
      <c r="B34" s="30" t="inlineStr">
        <is>
          <t>FA-2026-0021</t>
        </is>
      </c>
      <c r="C34" s="30">
        <f>IFERROR(INDEX(Factures!$D:$D,MATCH(B34,Factures!$A:$A,0)),"Facture inconnue")</f>
        <v/>
      </c>
      <c r="D34" s="30" t="inlineStr">
        <is>
          <t>Chèque</t>
        </is>
      </c>
      <c r="E34" s="32" t="n">
        <v>268333.1</v>
      </c>
    </row>
    <row r="35">
      <c r="A35" s="31" t="n">
        <v>46119</v>
      </c>
      <c r="B35" s="30" t="inlineStr">
        <is>
          <t>FA-2026-0024</t>
        </is>
      </c>
      <c r="C35" s="30">
        <f>IFERROR(INDEX(Factures!$D:$D,MATCH(B35,Factures!$A:$A,0)),"Facture inconnue")</f>
        <v/>
      </c>
      <c r="D35" s="30" t="inlineStr">
        <is>
          <t>Espèces</t>
        </is>
      </c>
      <c r="E35" s="32" t="n">
        <v>98688.60000000001</v>
      </c>
    </row>
    <row r="36">
      <c r="A36" s="31" t="n">
        <v>46122</v>
      </c>
      <c r="B36" s="30" t="inlineStr">
        <is>
          <t>FA-2026-0012</t>
        </is>
      </c>
      <c r="C36" s="30">
        <f>IFERROR(INDEX(Factures!$D:$D,MATCH(B36,Factures!$A:$A,0)),"Facture inconnue")</f>
        <v/>
      </c>
      <c r="D36" s="30" t="inlineStr">
        <is>
          <t>Chèque</t>
        </is>
      </c>
      <c r="E36" s="32" t="n">
        <v>52901.4</v>
      </c>
    </row>
    <row r="37">
      <c r="A37" s="31" t="n">
        <v>46123</v>
      </c>
      <c r="B37" s="30" t="inlineStr">
        <is>
          <t>FA-2026-0048</t>
        </is>
      </c>
      <c r="C37" s="30">
        <f>IFERROR(INDEX(Factures!$D:$D,MATCH(B37,Factures!$A:$A,0)),"Facture inconnue")</f>
        <v/>
      </c>
      <c r="D37" s="30" t="inlineStr">
        <is>
          <t>CCP / BaridiMob</t>
        </is>
      </c>
      <c r="E37" s="32" t="n">
        <v>26867</v>
      </c>
    </row>
    <row r="38">
      <c r="A38" s="31" t="n">
        <v>46124</v>
      </c>
      <c r="B38" s="30" t="inlineStr">
        <is>
          <t>FA-2026-0032</t>
        </is>
      </c>
      <c r="C38" s="30">
        <f>IFERROR(INDEX(Factures!$D:$D,MATCH(B38,Factures!$A:$A,0)),"Facture inconnue")</f>
        <v/>
      </c>
      <c r="D38" s="30" t="inlineStr">
        <is>
          <t>Espèces</t>
        </is>
      </c>
      <c r="E38" s="32" t="n">
        <v>60254.5</v>
      </c>
    </row>
    <row r="39">
      <c r="A39" s="31" t="n">
        <v>46130</v>
      </c>
      <c r="B39" s="30" t="inlineStr">
        <is>
          <t>FA-2026-0046</t>
        </is>
      </c>
      <c r="C39" s="30">
        <f>IFERROR(INDEX(Factures!$D:$D,MATCH(B39,Factures!$A:$A,0)),"Facture inconnue")</f>
        <v/>
      </c>
      <c r="D39" s="30" t="inlineStr">
        <is>
          <t>CCP / BaridiMob</t>
        </is>
      </c>
      <c r="E39" s="32" t="n">
        <v>316476.47</v>
      </c>
    </row>
    <row r="40">
      <c r="A40" s="31" t="n">
        <v>46132</v>
      </c>
      <c r="B40" s="30" t="inlineStr">
        <is>
          <t>FA-2026-0045</t>
        </is>
      </c>
      <c r="C40" s="30">
        <f>IFERROR(INDEX(Factures!$D:$D,MATCH(B40,Factures!$A:$A,0)),"Facture inconnue")</f>
        <v/>
      </c>
      <c r="D40" s="30" t="inlineStr">
        <is>
          <t>Espèces</t>
        </is>
      </c>
      <c r="E40" s="32" t="n">
        <v>146084.72</v>
      </c>
    </row>
    <row r="41">
      <c r="A41" s="31" t="n">
        <v>46132</v>
      </c>
      <c r="B41" s="30" t="inlineStr">
        <is>
          <t>FA-2026-0050</t>
        </is>
      </c>
      <c r="C41" s="30">
        <f>IFERROR(INDEX(Factures!$D:$D,MATCH(B41,Factures!$A:$A,0)),"Facture inconnue")</f>
        <v/>
      </c>
      <c r="D41" s="30" t="inlineStr">
        <is>
          <t>CCP / BaridiMob</t>
        </is>
      </c>
      <c r="E41" s="32" t="n">
        <v>209760.2</v>
      </c>
    </row>
    <row r="42">
      <c r="A42" s="31" t="n">
        <v>46144</v>
      </c>
      <c r="B42" s="30" t="inlineStr">
        <is>
          <t>FA-2026-0022</t>
        </is>
      </c>
      <c r="C42" s="30">
        <f>IFERROR(INDEX(Factures!$D:$D,MATCH(B42,Factures!$A:$A,0)),"Facture inconnue")</f>
        <v/>
      </c>
      <c r="D42" s="30" t="inlineStr">
        <is>
          <t>Chèque</t>
        </is>
      </c>
      <c r="E42" s="32" t="n">
        <v>125111</v>
      </c>
    </row>
    <row r="43">
      <c r="A43" s="31" t="n">
        <v>46145</v>
      </c>
      <c r="B43" s="30" t="inlineStr">
        <is>
          <t>FA-2026-0051</t>
        </is>
      </c>
      <c r="C43" s="30">
        <f>IFERROR(INDEX(Factures!$D:$D,MATCH(B43,Factures!$A:$A,0)),"Facture inconnue")</f>
        <v/>
      </c>
      <c r="D43" s="30" t="inlineStr">
        <is>
          <t>CCP / BaridiMob</t>
        </is>
      </c>
      <c r="E43" s="32" t="n">
        <v>257449.13</v>
      </c>
    </row>
    <row r="44">
      <c r="A44" s="31" t="n">
        <v>46145</v>
      </c>
      <c r="B44" s="30" t="inlineStr">
        <is>
          <t>FA-2026-0056</t>
        </is>
      </c>
      <c r="C44" s="30">
        <f>IFERROR(INDEX(Factures!$D:$D,MATCH(B44,Factures!$A:$A,0)),"Facture inconnue")</f>
        <v/>
      </c>
      <c r="D44" s="30" t="inlineStr">
        <is>
          <t>CCP / BaridiMob</t>
        </is>
      </c>
      <c r="E44" s="32" t="n">
        <v>47835.3</v>
      </c>
    </row>
    <row r="45">
      <c r="A45" s="31" t="n">
        <v>46148</v>
      </c>
      <c r="B45" s="30" t="inlineStr">
        <is>
          <t>FA-2026-0060</t>
        </is>
      </c>
      <c r="C45" s="30">
        <f>IFERROR(INDEX(Factures!$D:$D,MATCH(B45,Factures!$A:$A,0)),"Facture inconnue")</f>
        <v/>
      </c>
      <c r="D45" s="30" t="inlineStr">
        <is>
          <t>CCP / BaridiMob</t>
        </is>
      </c>
      <c r="E45" s="32" t="n">
        <v>57987.2</v>
      </c>
    </row>
    <row r="46">
      <c r="A46" s="31" t="n">
        <v>46150</v>
      </c>
      <c r="B46" s="30" t="inlineStr">
        <is>
          <t>FA-2026-0044</t>
        </is>
      </c>
      <c r="C46" s="30">
        <f>IFERROR(INDEX(Factures!$D:$D,MATCH(B46,Factures!$A:$A,0)),"Facture inconnue")</f>
        <v/>
      </c>
      <c r="D46" s="30" t="inlineStr">
        <is>
          <t>Virement</t>
        </is>
      </c>
      <c r="E46" s="32" t="n">
        <v>66379.84</v>
      </c>
    </row>
    <row r="47">
      <c r="A47" s="31" t="n">
        <v>46151</v>
      </c>
      <c r="B47" s="30" t="inlineStr">
        <is>
          <t>FA-2026-0070</t>
        </is>
      </c>
      <c r="C47" s="30">
        <f>IFERROR(INDEX(Factures!$D:$D,MATCH(B47,Factures!$A:$A,0)),"Facture inconnue")</f>
        <v/>
      </c>
      <c r="D47" s="30" t="inlineStr">
        <is>
          <t>CCP / BaridiMob</t>
        </is>
      </c>
      <c r="E47" s="32" t="n">
        <v>30802.1</v>
      </c>
    </row>
    <row r="48">
      <c r="A48" s="31" t="n">
        <v>46152</v>
      </c>
      <c r="B48" s="30" t="inlineStr">
        <is>
          <t>FA-2026-0065</t>
        </is>
      </c>
      <c r="C48" s="30">
        <f>IFERROR(INDEX(Factures!$D:$D,MATCH(B48,Factures!$A:$A,0)),"Facture inconnue")</f>
        <v/>
      </c>
      <c r="D48" s="30" t="inlineStr">
        <is>
          <t>Chèque</t>
        </is>
      </c>
      <c r="E48" s="32" t="n">
        <v>25000</v>
      </c>
    </row>
    <row r="49">
      <c r="A49" s="31" t="n">
        <v>46154</v>
      </c>
      <c r="B49" s="30" t="inlineStr">
        <is>
          <t>FA-2026-0054</t>
        </is>
      </c>
      <c r="C49" s="30">
        <f>IFERROR(INDEX(Factures!$D:$D,MATCH(B49,Factures!$A:$A,0)),"Facture inconnue")</f>
        <v/>
      </c>
      <c r="D49" s="30" t="inlineStr">
        <is>
          <t>CCP / BaridiMob</t>
        </is>
      </c>
      <c r="E49" s="32" t="n">
        <v>46311.48</v>
      </c>
    </row>
    <row r="50">
      <c r="A50" s="31" t="n">
        <v>46155</v>
      </c>
      <c r="B50" s="30" t="inlineStr">
        <is>
          <t>FA-2026-0055</t>
        </is>
      </c>
      <c r="C50" s="30">
        <f>IFERROR(INDEX(Factures!$D:$D,MATCH(B50,Factures!$A:$A,0)),"Facture inconnue")</f>
        <v/>
      </c>
      <c r="D50" s="30" t="inlineStr">
        <is>
          <t>Espèces</t>
        </is>
      </c>
      <c r="E50" s="32" t="n">
        <v>31100</v>
      </c>
    </row>
    <row r="51">
      <c r="A51" s="31" t="n">
        <v>46156</v>
      </c>
      <c r="B51" s="30" t="inlineStr">
        <is>
          <t>FA-2026-0043</t>
        </is>
      </c>
      <c r="C51" s="30">
        <f>IFERROR(INDEX(Factures!$D:$D,MATCH(B51,Factures!$A:$A,0)),"Facture inconnue")</f>
        <v/>
      </c>
      <c r="D51" s="30" t="inlineStr">
        <is>
          <t>Chèque</t>
        </is>
      </c>
      <c r="E51" s="32" t="n">
        <v>196556.87</v>
      </c>
    </row>
    <row r="52">
      <c r="A52" s="31" t="n">
        <v>46158</v>
      </c>
      <c r="B52" s="30" t="inlineStr">
        <is>
          <t>FA-2026-0066</t>
        </is>
      </c>
      <c r="C52" s="30">
        <f>IFERROR(INDEX(Factures!$D:$D,MATCH(B52,Factures!$A:$A,0)),"Facture inconnue")</f>
        <v/>
      </c>
      <c r="D52" s="30" t="inlineStr">
        <is>
          <t>Chèque</t>
        </is>
      </c>
      <c r="E52" s="32" t="n">
        <v>58554.8</v>
      </c>
    </row>
    <row r="53">
      <c r="A53" s="31" t="n">
        <v>46160</v>
      </c>
      <c r="B53" s="30" t="inlineStr">
        <is>
          <t>FA-2026-0063</t>
        </is>
      </c>
      <c r="C53" s="30">
        <f>IFERROR(INDEX(Factures!$D:$D,MATCH(B53,Factures!$A:$A,0)),"Facture inconnue")</f>
        <v/>
      </c>
      <c r="D53" s="30" t="inlineStr">
        <is>
          <t>Virement</t>
        </is>
      </c>
      <c r="E53" s="32" t="n">
        <v>47068.6</v>
      </c>
    </row>
    <row r="54">
      <c r="A54" s="31" t="n">
        <v>46161</v>
      </c>
      <c r="B54" s="30" t="inlineStr">
        <is>
          <t>FA-2026-0068</t>
        </is>
      </c>
      <c r="C54" s="30">
        <f>IFERROR(INDEX(Factures!$D:$D,MATCH(B54,Factures!$A:$A,0)),"Facture inconnue")</f>
        <v/>
      </c>
      <c r="D54" s="30" t="inlineStr">
        <is>
          <t>Chèque</t>
        </is>
      </c>
      <c r="E54" s="32" t="n">
        <v>141097.6</v>
      </c>
    </row>
    <row r="55">
      <c r="A55" s="31" t="n">
        <v>46162</v>
      </c>
      <c r="B55" s="30" t="inlineStr">
        <is>
          <t>FA-2026-0069</t>
        </is>
      </c>
      <c r="C55" s="30">
        <f>IFERROR(INDEX(Factures!$D:$D,MATCH(B55,Factures!$A:$A,0)),"Facture inconnue")</f>
        <v/>
      </c>
      <c r="D55" s="30" t="inlineStr">
        <is>
          <t>CCP / BaridiMob</t>
        </is>
      </c>
      <c r="E55" s="32" t="n">
        <v>501936.77</v>
      </c>
    </row>
    <row r="56">
      <c r="A56" s="31" t="n">
        <v>46168</v>
      </c>
      <c r="B56" s="30" t="inlineStr">
        <is>
          <t>FA-2026-0074</t>
        </is>
      </c>
      <c r="C56" s="30">
        <f>IFERROR(INDEX(Factures!$D:$D,MATCH(B56,Factures!$A:$A,0)),"Facture inconnue")</f>
        <v/>
      </c>
      <c r="D56" s="30" t="inlineStr">
        <is>
          <t>Espèces</t>
        </is>
      </c>
      <c r="E56" s="32" t="n">
        <v>83372</v>
      </c>
    </row>
    <row r="57">
      <c r="A57" s="31" t="n">
        <v>46172</v>
      </c>
      <c r="B57" s="30" t="inlineStr">
        <is>
          <t>FA-2026-0082</t>
        </is>
      </c>
      <c r="C57" s="30">
        <f>IFERROR(INDEX(Factures!$D:$D,MATCH(B57,Factures!$A:$A,0)),"Facture inconnue")</f>
        <v/>
      </c>
      <c r="D57" s="30" t="inlineStr">
        <is>
          <t>CCP / BaridiMob</t>
        </is>
      </c>
      <c r="E57" s="32" t="n">
        <v>61846.6</v>
      </c>
    </row>
    <row r="58">
      <c r="A58" s="31" t="n">
        <v>46175</v>
      </c>
      <c r="B58" s="30" t="inlineStr">
        <is>
          <t>FA-2026-0059</t>
        </is>
      </c>
      <c r="C58" s="30">
        <f>IFERROR(INDEX(Factures!$D:$D,MATCH(B58,Factures!$A:$A,0)),"Facture inconnue")</f>
        <v/>
      </c>
      <c r="D58" s="30" t="inlineStr">
        <is>
          <t>Espèces</t>
        </is>
      </c>
      <c r="E58" s="32" t="n">
        <v>99362.60000000001</v>
      </c>
    </row>
    <row r="59">
      <c r="A59" s="31" t="n">
        <v>46176</v>
      </c>
      <c r="B59" s="30" t="inlineStr">
        <is>
          <t>FA-2026-0026</t>
        </is>
      </c>
      <c r="C59" s="30">
        <f>IFERROR(INDEX(Factures!$D:$D,MATCH(B59,Factures!$A:$A,0)),"Facture inconnue")</f>
        <v/>
      </c>
      <c r="D59" s="30" t="inlineStr">
        <is>
          <t>Chèque</t>
        </is>
      </c>
      <c r="E59" s="32" t="n">
        <v>349879.97</v>
      </c>
    </row>
    <row r="60">
      <c r="A60" s="31" t="n">
        <v>46176</v>
      </c>
      <c r="B60" s="30" t="inlineStr">
        <is>
          <t>FA-2026-0038</t>
        </is>
      </c>
      <c r="C60" s="30">
        <f>IFERROR(INDEX(Factures!$D:$D,MATCH(B60,Factures!$A:$A,0)),"Facture inconnue")</f>
        <v/>
      </c>
      <c r="D60" s="30" t="inlineStr">
        <is>
          <t>Chèque</t>
        </is>
      </c>
      <c r="E60" s="32" t="n">
        <v>149406.3</v>
      </c>
    </row>
    <row r="61">
      <c r="A61" s="31" t="n">
        <v>46177</v>
      </c>
      <c r="B61" s="30" t="inlineStr">
        <is>
          <t>FA-2026-0058</t>
        </is>
      </c>
      <c r="C61" s="30">
        <f>IFERROR(INDEX(Factures!$D:$D,MATCH(B61,Factures!$A:$A,0)),"Facture inconnue")</f>
        <v/>
      </c>
      <c r="D61" s="30" t="inlineStr">
        <is>
          <t>Chèque</t>
        </is>
      </c>
      <c r="E61" s="32" t="n">
        <v>66577.8</v>
      </c>
    </row>
    <row r="62">
      <c r="A62" s="31" t="n">
        <v>46181</v>
      </c>
      <c r="B62" s="30" t="inlineStr">
        <is>
          <t>FA-2026-0028</t>
        </is>
      </c>
      <c r="C62" s="30">
        <f>IFERROR(INDEX(Factures!$D:$D,MATCH(B62,Factures!$A:$A,0)),"Facture inconnue")</f>
        <v/>
      </c>
      <c r="D62" s="30" t="inlineStr">
        <is>
          <t>Espèces</t>
        </is>
      </c>
      <c r="E62" s="32" t="n">
        <v>346902.71</v>
      </c>
    </row>
    <row r="63">
      <c r="A63" s="31" t="n">
        <v>46182</v>
      </c>
      <c r="B63" s="30" t="inlineStr">
        <is>
          <t>FA-2026-0081</t>
        </is>
      </c>
      <c r="C63" s="30">
        <f>IFERROR(INDEX(Factures!$D:$D,MATCH(B63,Factures!$A:$A,0)),"Facture inconnue")</f>
        <v/>
      </c>
      <c r="D63" s="30" t="inlineStr">
        <is>
          <t>CCP / BaridiMob</t>
        </is>
      </c>
      <c r="E63" s="32" t="n">
        <v>33756.1</v>
      </c>
    </row>
    <row r="64">
      <c r="A64" s="31" t="n">
        <v>46187</v>
      </c>
      <c r="B64" s="30" t="inlineStr">
        <is>
          <t>FA-2026-0078</t>
        </is>
      </c>
      <c r="C64" s="30">
        <f>IFERROR(INDEX(Factures!$D:$D,MATCH(B64,Factures!$A:$A,0)),"Facture inconnue")</f>
        <v/>
      </c>
      <c r="D64" s="30" t="inlineStr">
        <is>
          <t>Chèque</t>
        </is>
      </c>
      <c r="E64" s="32" t="n">
        <v>36100</v>
      </c>
    </row>
    <row r="65">
      <c r="A65" s="31" t="n">
        <v>46187</v>
      </c>
      <c r="B65" s="30" t="inlineStr">
        <is>
          <t>FA-2026-0089</t>
        </is>
      </c>
      <c r="C65" s="30">
        <f>IFERROR(INDEX(Factures!$D:$D,MATCH(B65,Factures!$A:$A,0)),"Facture inconnue")</f>
        <v/>
      </c>
      <c r="D65" s="30" t="inlineStr">
        <is>
          <t>Chèque</t>
        </is>
      </c>
      <c r="E65" s="32" t="n">
        <v>20051.2</v>
      </c>
    </row>
    <row r="66">
      <c r="A66" s="31" t="n">
        <v>46188</v>
      </c>
      <c r="B66" s="30" t="inlineStr">
        <is>
          <t>FA-2026-0085</t>
        </is>
      </c>
      <c r="C66" s="30">
        <f>IFERROR(INDEX(Factures!$D:$D,MATCH(B66,Factures!$A:$A,0)),"Facture inconnue")</f>
        <v/>
      </c>
      <c r="D66" s="30" t="inlineStr">
        <is>
          <t>Chèque</t>
        </is>
      </c>
      <c r="E66" s="32" t="n">
        <v>24900</v>
      </c>
    </row>
    <row r="67">
      <c r="A67" s="31" t="n">
        <v>46189</v>
      </c>
      <c r="B67" s="30" t="inlineStr">
        <is>
          <t>FA-2026-0049</t>
        </is>
      </c>
      <c r="C67" s="30">
        <f>IFERROR(INDEX(Factures!$D:$D,MATCH(B67,Factures!$A:$A,0)),"Facture inconnue")</f>
        <v/>
      </c>
      <c r="D67" s="30" t="inlineStr">
        <is>
          <t>Chèque</t>
        </is>
      </c>
      <c r="E67" s="32" t="n">
        <v>259561</v>
      </c>
    </row>
    <row r="68">
      <c r="A68" s="31" t="n">
        <v>46194</v>
      </c>
      <c r="B68" s="30" t="inlineStr">
        <is>
          <t>FA-2026-0064</t>
        </is>
      </c>
      <c r="C68" s="30">
        <f>IFERROR(INDEX(Factures!$D:$D,MATCH(B68,Factures!$A:$A,0)),"Facture inconnue")</f>
        <v/>
      </c>
      <c r="D68" s="30" t="inlineStr">
        <is>
          <t>Chèque</t>
        </is>
      </c>
      <c r="E68" s="32" t="n">
        <v>103454.8</v>
      </c>
    </row>
    <row r="69">
      <c r="A69" s="31" t="n">
        <v>46195</v>
      </c>
      <c r="B69" s="30" t="inlineStr">
        <is>
          <t>FA-2026-0052</t>
        </is>
      </c>
      <c r="C69" s="30">
        <f>IFERROR(INDEX(Factures!$D:$D,MATCH(B69,Factures!$A:$A,0)),"Facture inconnue")</f>
        <v/>
      </c>
      <c r="D69" s="30" t="inlineStr">
        <is>
          <t>Espèces</t>
        </is>
      </c>
      <c r="E69" s="32" t="n">
        <v>78916</v>
      </c>
    </row>
    <row r="70">
      <c r="A70" s="31" t="n">
        <v>46195</v>
      </c>
      <c r="B70" s="30" t="inlineStr">
        <is>
          <t>FA-2026-0080</t>
        </is>
      </c>
      <c r="C70" s="30">
        <f>IFERROR(INDEX(Factures!$D:$D,MATCH(B70,Factures!$A:$A,0)),"Facture inconnue")</f>
        <v/>
      </c>
      <c r="D70" s="30" t="inlineStr">
        <is>
          <t>Espèces</t>
        </is>
      </c>
      <c r="E70" s="32" t="n">
        <v>88058.7</v>
      </c>
    </row>
    <row r="71">
      <c r="A71" s="31" t="n">
        <v>46197</v>
      </c>
      <c r="B71" s="30" t="inlineStr">
        <is>
          <t>FA-2026-0053</t>
        </is>
      </c>
      <c r="C71" s="30">
        <f>IFERROR(INDEX(Factures!$D:$D,MATCH(B71,Factures!$A:$A,0)),"Facture inconnue")</f>
        <v/>
      </c>
      <c r="D71" s="30" t="inlineStr">
        <is>
          <t>CCP / BaridiMob</t>
        </is>
      </c>
      <c r="E71" s="32" t="n">
        <v>234794.93</v>
      </c>
    </row>
    <row r="72">
      <c r="A72" s="31" t="n">
        <v>46199</v>
      </c>
      <c r="B72" s="30" t="inlineStr">
        <is>
          <t>FA-2026-0094</t>
        </is>
      </c>
      <c r="C72" s="30">
        <f>IFERROR(INDEX(Factures!$D:$D,MATCH(B72,Factures!$A:$A,0)),"Facture inconnue")</f>
        <v/>
      </c>
      <c r="D72" s="30" t="inlineStr">
        <is>
          <t>CCP / BaridiMob</t>
        </is>
      </c>
      <c r="E72" s="32" t="n">
        <v>285217.2</v>
      </c>
    </row>
    <row r="73">
      <c r="A73" s="31" t="n">
        <v>46202</v>
      </c>
      <c r="B73" s="30" t="inlineStr">
        <is>
          <t>FA-2026-0093</t>
        </is>
      </c>
      <c r="C73" s="30">
        <f>IFERROR(INDEX(Factures!$D:$D,MATCH(B73,Factures!$A:$A,0)),"Facture inconnue")</f>
        <v/>
      </c>
      <c r="D73" s="30" t="inlineStr">
        <is>
          <t>CCP / BaridiMob</t>
        </is>
      </c>
      <c r="E73" s="32" t="n">
        <v>39355</v>
      </c>
    </row>
    <row r="74">
      <c r="A74" s="31" t="n">
        <v>46202</v>
      </c>
      <c r="B74" s="30" t="inlineStr">
        <is>
          <t>FA-2026-0096</t>
        </is>
      </c>
      <c r="C74" s="30">
        <f>IFERROR(INDEX(Factures!$D:$D,MATCH(B74,Factures!$A:$A,0)),"Facture inconnue")</f>
        <v/>
      </c>
      <c r="D74" s="30" t="inlineStr">
        <is>
          <t>Virement</t>
        </is>
      </c>
      <c r="E74" s="32" t="n">
        <v>170947.1</v>
      </c>
    </row>
    <row r="75">
      <c r="A75" s="31" t="n">
        <v>46203</v>
      </c>
      <c r="B75" s="30" t="inlineStr">
        <is>
          <t>FA-2026-0092</t>
        </is>
      </c>
      <c r="C75" s="30">
        <f>IFERROR(INDEX(Factures!$D:$D,MATCH(B75,Factures!$A:$A,0)),"Facture inconnue")</f>
        <v/>
      </c>
      <c r="D75" s="30" t="inlineStr">
        <is>
          <t>CCP / BaridiMob</t>
        </is>
      </c>
      <c r="E75" s="32" t="n">
        <v>141082.4</v>
      </c>
    </row>
    <row r="76">
      <c r="A76" s="31" t="n">
        <v>46204</v>
      </c>
      <c r="B76" s="30" t="inlineStr">
        <is>
          <t>FA-2026-0075</t>
        </is>
      </c>
      <c r="C76" s="30">
        <f>IFERROR(INDEX(Factures!$D:$D,MATCH(B76,Factures!$A:$A,0)),"Facture inconnue")</f>
        <v/>
      </c>
      <c r="D76" s="30" t="inlineStr">
        <is>
          <t>Chèque</t>
        </is>
      </c>
      <c r="E76" s="32" t="n">
        <v>577481.16</v>
      </c>
    </row>
    <row r="77">
      <c r="A77" s="31" t="n">
        <v>46206</v>
      </c>
      <c r="B77" s="30" t="inlineStr">
        <is>
          <t>FA-2026-0073</t>
        </is>
      </c>
      <c r="C77" s="30">
        <f>IFERROR(INDEX(Factures!$D:$D,MATCH(B77,Factures!$A:$A,0)),"Facture inconnue")</f>
        <v/>
      </c>
      <c r="D77" s="30" t="inlineStr">
        <is>
          <t>CCP / BaridiMob</t>
        </is>
      </c>
      <c r="E77" s="32" t="n">
        <v>339802.4</v>
      </c>
    </row>
    <row r="78">
      <c r="A78" s="31" t="n">
        <v>46208</v>
      </c>
      <c r="B78" s="30" t="inlineStr">
        <is>
          <t>FA-2026-0061</t>
        </is>
      </c>
      <c r="C78" s="30">
        <f>IFERROR(INDEX(Factures!$D:$D,MATCH(B78,Factures!$A:$A,0)),"Facture inconnue")</f>
        <v/>
      </c>
      <c r="D78" s="30" t="inlineStr">
        <is>
          <t>CCP / BaridiMob</t>
        </is>
      </c>
      <c r="E78" s="32" t="n">
        <v>337132.12</v>
      </c>
    </row>
    <row r="79">
      <c r="A79" s="31" t="n">
        <v>46209</v>
      </c>
      <c r="B79" s="30" t="inlineStr">
        <is>
          <t>FA-2026-0100</t>
        </is>
      </c>
      <c r="C79" s="30">
        <f>IFERROR(INDEX(Factures!$D:$D,MATCH(B79,Factures!$A:$A,0)),"Facture inconnue")</f>
        <v/>
      </c>
      <c r="D79" s="30" t="inlineStr">
        <is>
          <t>CCP / BaridiMob</t>
        </is>
      </c>
      <c r="E79" s="32" t="n">
        <v>94033.10000000001</v>
      </c>
    </row>
    <row r="80">
      <c r="A80" s="31" t="n">
        <v>46210</v>
      </c>
      <c r="B80" s="30" t="inlineStr">
        <is>
          <t>FA-2026-0067</t>
        </is>
      </c>
      <c r="C80" s="30">
        <f>IFERROR(INDEX(Factures!$D:$D,MATCH(B80,Factures!$A:$A,0)),"Facture inconnue")</f>
        <v/>
      </c>
      <c r="D80" s="30" t="inlineStr">
        <is>
          <t>CCP / BaridiMob</t>
        </is>
      </c>
      <c r="E80" s="32" t="n">
        <v>62546.38</v>
      </c>
    </row>
    <row r="81">
      <c r="A81" s="31" t="n">
        <v>46211</v>
      </c>
      <c r="B81" s="30" t="inlineStr">
        <is>
          <t>FA-2026-0101</t>
        </is>
      </c>
      <c r="C81" s="30">
        <f>IFERROR(INDEX(Factures!$D:$D,MATCH(B81,Factures!$A:$A,0)),"Facture inconnue")</f>
        <v/>
      </c>
      <c r="D81" s="30" t="inlineStr">
        <is>
          <t>CCP / BaridiMob</t>
        </is>
      </c>
      <c r="E81" s="32" t="n">
        <v>112660</v>
      </c>
    </row>
    <row r="82">
      <c r="A82" s="31" t="n">
        <v>46214</v>
      </c>
      <c r="B82" s="30" t="inlineStr">
        <is>
          <t>FA-2026-0083</t>
        </is>
      </c>
      <c r="C82" s="30">
        <f>IFERROR(INDEX(Factures!$D:$D,MATCH(B82,Factures!$A:$A,0)),"Facture inconnue")</f>
        <v/>
      </c>
      <c r="D82" s="30" t="inlineStr">
        <is>
          <t>Virement</t>
        </is>
      </c>
      <c r="E82" s="32" t="n">
        <v>56700.9</v>
      </c>
    </row>
    <row r="83">
      <c r="A83" s="31" t="n">
        <v>46214</v>
      </c>
      <c r="B83" s="30" t="inlineStr">
        <is>
          <t>FA-2026-0090</t>
        </is>
      </c>
      <c r="C83" s="30">
        <f>IFERROR(INDEX(Factures!$D:$D,MATCH(B83,Factures!$A:$A,0)),"Facture inconnue")</f>
        <v/>
      </c>
      <c r="D83" s="30" t="inlineStr">
        <is>
          <t>Espèces</t>
        </is>
      </c>
      <c r="E83" s="32" t="n">
        <v>40033.3</v>
      </c>
    </row>
    <row r="84">
      <c r="A84" s="31" t="n">
        <v>46216</v>
      </c>
      <c r="B84" s="30" t="inlineStr">
        <is>
          <t>FA-2026-0098</t>
        </is>
      </c>
      <c r="C84" s="30">
        <f>IFERROR(INDEX(Factures!$D:$D,MATCH(B84,Factures!$A:$A,0)),"Facture inconnue")</f>
        <v/>
      </c>
      <c r="D84" s="30" t="inlineStr">
        <is>
          <t>Chèque</t>
        </is>
      </c>
      <c r="E84" s="32" t="n">
        <v>201018.4</v>
      </c>
    </row>
    <row r="85">
      <c r="A85" s="31" t="n">
        <v>46219</v>
      </c>
      <c r="B85" s="30" t="inlineStr">
        <is>
          <t>FA-2026-0084</t>
        </is>
      </c>
      <c r="C85" s="30">
        <f>IFERROR(INDEX(Factures!$D:$D,MATCH(B85,Factures!$A:$A,0)),"Facture inconnue")</f>
        <v/>
      </c>
      <c r="D85" s="30" t="inlineStr">
        <is>
          <t>CCP / BaridiMob</t>
        </is>
      </c>
      <c r="E85" s="32" t="n">
        <v>75888.37</v>
      </c>
    </row>
    <row r="86">
      <c r="A86" s="31" t="n">
        <v>46220</v>
      </c>
      <c r="B86" s="30" t="inlineStr">
        <is>
          <t>FA-2026-0106</t>
        </is>
      </c>
      <c r="C86" s="30">
        <f>IFERROR(INDEX(Factures!$D:$D,MATCH(B86,Factures!$A:$A,0)),"Facture inconnue")</f>
        <v/>
      </c>
      <c r="D86" s="30" t="inlineStr">
        <is>
          <t>Espèces</t>
        </is>
      </c>
      <c r="E86" s="32" t="n">
        <v>38402</v>
      </c>
    </row>
    <row r="87">
      <c r="A87" s="31" t="n">
        <v>46221</v>
      </c>
      <c r="B87" s="30" t="inlineStr">
        <is>
          <t>FA-2026-0071</t>
        </is>
      </c>
      <c r="C87" s="30">
        <f>IFERROR(INDEX(Factures!$D:$D,MATCH(B87,Factures!$A:$A,0)),"Facture inconnue")</f>
        <v/>
      </c>
      <c r="D87" s="30" t="inlineStr">
        <is>
          <t>Chèque</t>
        </is>
      </c>
      <c r="E87" s="32" t="n">
        <v>47568.78</v>
      </c>
    </row>
    <row r="88">
      <c r="A88" s="31" t="n">
        <v>46223</v>
      </c>
      <c r="B88" s="30" t="inlineStr">
        <is>
          <t>FA-2026-0097</t>
        </is>
      </c>
      <c r="C88" s="30">
        <f>IFERROR(INDEX(Factures!$D:$D,MATCH(B88,Factures!$A:$A,0)),"Facture inconnue")</f>
        <v/>
      </c>
      <c r="D88" s="30" t="inlineStr">
        <is>
          <t>Chèque</t>
        </is>
      </c>
      <c r="E88" s="32" t="n">
        <v>97020.89999999999</v>
      </c>
    </row>
    <row r="89">
      <c r="A89" s="31" t="n">
        <v>46223</v>
      </c>
      <c r="B89" s="30" t="inlineStr">
        <is>
          <t>FA-2026-0105</t>
        </is>
      </c>
      <c r="C89" s="30">
        <f>IFERROR(INDEX(Factures!$D:$D,MATCH(B89,Factures!$A:$A,0)),"Facture inconnue")</f>
        <v/>
      </c>
      <c r="D89" s="30" t="inlineStr">
        <is>
          <t>CCP / BaridiMob</t>
        </is>
      </c>
      <c r="E89" s="32" t="n">
        <v>190400</v>
      </c>
    </row>
    <row r="90">
      <c r="A90" s="31" t="n">
        <v>46225</v>
      </c>
      <c r="B90" s="30" t="inlineStr">
        <is>
          <t>FA-2026-0086</t>
        </is>
      </c>
      <c r="C90" s="30">
        <f>IFERROR(INDEX(Factures!$D:$D,MATCH(B90,Factures!$A:$A,0)),"Facture inconnue")</f>
        <v/>
      </c>
      <c r="D90" s="30" t="inlineStr">
        <is>
          <t>Virement</t>
        </is>
      </c>
      <c r="E90" s="32" t="n">
        <v>57000</v>
      </c>
    </row>
    <row r="91">
      <c r="A91" s="31" t="n">
        <v>46229</v>
      </c>
      <c r="B91" s="30" t="inlineStr">
        <is>
          <t>FA-2026-0087</t>
        </is>
      </c>
      <c r="C91" s="30">
        <f>IFERROR(INDEX(Factures!$D:$D,MATCH(B91,Factures!$A:$A,0)),"Facture inconnue")</f>
        <v/>
      </c>
      <c r="D91" s="30" t="inlineStr">
        <is>
          <t>Virement</t>
        </is>
      </c>
      <c r="E91" s="32" t="n">
        <v>104757.5</v>
      </c>
    </row>
    <row r="92">
      <c r="A92" s="31" t="n">
        <v>46235</v>
      </c>
      <c r="B92" s="30" t="inlineStr">
        <is>
          <t>FA-2026-0076</t>
        </is>
      </c>
      <c r="C92" s="30">
        <f>IFERROR(INDEX(Factures!$D:$D,MATCH(B92,Factures!$A:$A,0)),"Facture inconnue")</f>
        <v/>
      </c>
      <c r="D92" s="30" t="inlineStr">
        <is>
          <t>Chèque</t>
        </is>
      </c>
      <c r="E92" s="32" t="n">
        <v>127225.7</v>
      </c>
    </row>
    <row r="93">
      <c r="A93" s="31" t="n">
        <v>46236</v>
      </c>
      <c r="B93" s="30" t="inlineStr">
        <is>
          <t>FA-2026-0110</t>
        </is>
      </c>
      <c r="C93" s="30">
        <f>IFERROR(INDEX(Factures!$D:$D,MATCH(B93,Factures!$A:$A,0)),"Facture inconnue")</f>
        <v/>
      </c>
      <c r="D93" s="30" t="inlineStr">
        <is>
          <t>CCP / BaridiMob</t>
        </is>
      </c>
      <c r="E93" s="32" t="n">
        <v>56027.8</v>
      </c>
    </row>
    <row r="94">
      <c r="A94" s="31" t="n">
        <v>46238</v>
      </c>
      <c r="B94" s="30" t="inlineStr">
        <is>
          <t>FA-2026-0102</t>
        </is>
      </c>
      <c r="C94" s="30">
        <f>IFERROR(INDEX(Factures!$D:$D,MATCH(B94,Factures!$A:$A,0)),"Facture inconnue")</f>
        <v/>
      </c>
      <c r="D94" s="30" t="inlineStr">
        <is>
          <t>Espèces</t>
        </is>
      </c>
      <c r="E94" s="32" t="n">
        <v>179093.31</v>
      </c>
    </row>
    <row r="95">
      <c r="A95" s="31" t="n">
        <v>46239</v>
      </c>
      <c r="B95" s="30" t="inlineStr">
        <is>
          <t>FA-2026-0062</t>
        </is>
      </c>
      <c r="C95" s="30">
        <f>IFERROR(INDEX(Factures!$D:$D,MATCH(B95,Factures!$A:$A,0)),"Facture inconnue")</f>
        <v/>
      </c>
      <c r="D95" s="30" t="inlineStr">
        <is>
          <t>Chèque</t>
        </is>
      </c>
      <c r="E95" s="32" t="n">
        <v>168026.28</v>
      </c>
    </row>
    <row r="96">
      <c r="A96" s="31" t="n">
        <v>46239</v>
      </c>
      <c r="B96" s="30" t="inlineStr">
        <is>
          <t>FA-2026-0099</t>
        </is>
      </c>
      <c r="C96" s="30">
        <f>IFERROR(INDEX(Factures!$D:$D,MATCH(B96,Factures!$A:$A,0)),"Facture inconnue")</f>
        <v/>
      </c>
      <c r="D96" s="30" t="inlineStr">
        <is>
          <t>Espèces</t>
        </is>
      </c>
      <c r="E96" s="32" t="n">
        <v>175334.04</v>
      </c>
    </row>
    <row r="97">
      <c r="A97" s="31" t="n">
        <v>46239</v>
      </c>
      <c r="B97" s="30" t="inlineStr">
        <is>
          <t>FA-2026-0109</t>
        </is>
      </c>
      <c r="C97" s="30">
        <f>IFERROR(INDEX(Factures!$D:$D,MATCH(B97,Factures!$A:$A,0)),"Facture inconnue")</f>
        <v/>
      </c>
      <c r="D97" s="30" t="inlineStr">
        <is>
          <t>Espèces</t>
        </is>
      </c>
      <c r="E97" s="32" t="n">
        <v>131200</v>
      </c>
    </row>
    <row r="98">
      <c r="A98" s="31" t="n">
        <v>46240</v>
      </c>
      <c r="B98" s="30" t="inlineStr">
        <is>
          <t>FA-2026-0108</t>
        </is>
      </c>
      <c r="C98" s="30">
        <f>IFERROR(INDEX(Factures!$D:$D,MATCH(B98,Factures!$A:$A,0)),"Facture inconnue")</f>
        <v/>
      </c>
      <c r="D98" s="30" t="inlineStr">
        <is>
          <t>Chèque</t>
        </is>
      </c>
      <c r="E98" s="32" t="n">
        <v>23912.8</v>
      </c>
    </row>
    <row r="99">
      <c r="A99" s="31" t="n">
        <v>46243</v>
      </c>
      <c r="B99" s="30" t="inlineStr">
        <is>
          <t>FA-2026-0115</t>
        </is>
      </c>
      <c r="C99" s="30">
        <f>IFERROR(INDEX(Factures!$D:$D,MATCH(B99,Factures!$A:$A,0)),"Facture inconnue")</f>
        <v/>
      </c>
      <c r="D99" s="30" t="inlineStr">
        <is>
          <t>Virement</t>
        </is>
      </c>
      <c r="E99" s="32" t="n">
        <v>43546.1</v>
      </c>
    </row>
    <row r="100">
      <c r="A100" s="31" t="n">
        <v>46244</v>
      </c>
      <c r="B100" s="30" t="inlineStr">
        <is>
          <t>FA-2026-0113</t>
        </is>
      </c>
      <c r="C100" s="30">
        <f>IFERROR(INDEX(Factures!$D:$D,MATCH(B100,Factures!$A:$A,0)),"Facture inconnue")</f>
        <v/>
      </c>
      <c r="D100" s="30" t="inlineStr">
        <is>
          <t>Virement</t>
        </is>
      </c>
      <c r="E100" s="32" t="n">
        <v>92214</v>
      </c>
    </row>
    <row r="101">
      <c r="A101" s="31" t="n">
        <v>46245</v>
      </c>
      <c r="B101" s="30" t="inlineStr">
        <is>
          <t>FA-2026-0088</t>
        </is>
      </c>
      <c r="C101" s="30">
        <f>IFERROR(INDEX(Factures!$D:$D,MATCH(B101,Factures!$A:$A,0)),"Facture inconnue")</f>
        <v/>
      </c>
      <c r="D101" s="30" t="inlineStr">
        <is>
          <t>Chèque</t>
        </is>
      </c>
      <c r="E101" s="32" t="n">
        <v>102513.6</v>
      </c>
    </row>
    <row r="102">
      <c r="A102" s="31" t="n">
        <v>46248</v>
      </c>
      <c r="B102" s="30" t="inlineStr">
        <is>
          <t>FA-2026-0118</t>
        </is>
      </c>
      <c r="C102" s="30">
        <f>IFERROR(INDEX(Factures!$D:$D,MATCH(B102,Factures!$A:$A,0)),"Facture inconnue")</f>
        <v/>
      </c>
      <c r="D102" s="30" t="inlineStr">
        <is>
          <t>Espèces</t>
        </is>
      </c>
      <c r="E102" s="32" t="n">
        <v>228821.9</v>
      </c>
    </row>
    <row r="103">
      <c r="A103" s="31" t="n">
        <v>46248</v>
      </c>
      <c r="B103" s="30" t="inlineStr">
        <is>
          <t>FA-2026-0121</t>
        </is>
      </c>
      <c r="C103" s="30">
        <f>IFERROR(INDEX(Factures!$D:$D,MATCH(B103,Factures!$A:$A,0)),"Facture inconnue")</f>
        <v/>
      </c>
      <c r="D103" s="30" t="inlineStr">
        <is>
          <t>Espèces</t>
        </is>
      </c>
      <c r="E103" s="32" t="n">
        <v>72538.8</v>
      </c>
    </row>
    <row r="104">
      <c r="A104" s="31" t="n">
        <v>46249</v>
      </c>
      <c r="B104" s="30" t="inlineStr">
        <is>
          <t>FA-2026-0117</t>
        </is>
      </c>
      <c r="C104" s="30">
        <f>IFERROR(INDEX(Factures!$D:$D,MATCH(B104,Factures!$A:$A,0)),"Facture inconnue")</f>
        <v/>
      </c>
      <c r="D104" s="30" t="inlineStr">
        <is>
          <t>Virement</t>
        </is>
      </c>
      <c r="E104" s="32" t="n">
        <v>65320.7</v>
      </c>
    </row>
    <row r="105">
      <c r="A105" s="31" t="n">
        <v>46251</v>
      </c>
      <c r="B105" s="30" t="inlineStr">
        <is>
          <t>FA-2026-0116</t>
        </is>
      </c>
      <c r="C105" s="30">
        <f>IFERROR(INDEX(Factures!$D:$D,MATCH(B105,Factures!$A:$A,0)),"Facture inconnue")</f>
        <v/>
      </c>
      <c r="D105" s="30" t="inlineStr">
        <is>
          <t>Espèces</t>
        </is>
      </c>
      <c r="E105" s="32" t="n">
        <v>22100</v>
      </c>
    </row>
    <row r="106">
      <c r="A106" s="31" t="n">
        <v>46254</v>
      </c>
      <c r="B106" s="30" t="inlineStr">
        <is>
          <t>FA-2026-0104</t>
        </is>
      </c>
      <c r="C106" s="30">
        <f>IFERROR(INDEX(Factures!$D:$D,MATCH(B106,Factures!$A:$A,0)),"Facture inconnue")</f>
        <v/>
      </c>
      <c r="D106" s="30" t="inlineStr">
        <is>
          <t>Virement</t>
        </is>
      </c>
      <c r="E106" s="32" t="n">
        <v>145120.2</v>
      </c>
    </row>
    <row r="107">
      <c r="A107" s="31" t="n">
        <v>46259</v>
      </c>
      <c r="B107" s="30" t="inlineStr">
        <is>
          <t>FA-2026-0125</t>
        </is>
      </c>
      <c r="C107" s="30">
        <f>IFERROR(INDEX(Factures!$D:$D,MATCH(B107,Factures!$A:$A,0)),"Facture inconnue")</f>
        <v/>
      </c>
      <c r="D107" s="30" t="inlineStr">
        <is>
          <t>Espèces</t>
        </is>
      </c>
      <c r="E107" s="32" t="n">
        <v>60691.2</v>
      </c>
    </row>
    <row r="108">
      <c r="A108" s="31" t="n">
        <v>46259</v>
      </c>
      <c r="B108" s="30" t="inlineStr">
        <is>
          <t>FA-2026-0130</t>
        </is>
      </c>
      <c r="C108" s="30">
        <f>IFERROR(INDEX(Factures!$D:$D,MATCH(B108,Factures!$A:$A,0)),"Facture inconnue")</f>
        <v/>
      </c>
      <c r="D108" s="30" t="inlineStr">
        <is>
          <t>CCP / BaridiMob</t>
        </is>
      </c>
      <c r="E108" s="32" t="n">
        <v>60263.9</v>
      </c>
    </row>
    <row r="109">
      <c r="A109" s="31" t="n">
        <v>46260</v>
      </c>
      <c r="B109" s="30" t="inlineStr">
        <is>
          <t>FA-2026-0114</t>
        </is>
      </c>
      <c r="C109" s="30">
        <f>IFERROR(INDEX(Factures!$D:$D,MATCH(B109,Factures!$A:$A,0)),"Facture inconnue")</f>
        <v/>
      </c>
      <c r="D109" s="30" t="inlineStr">
        <is>
          <t>Virement</t>
        </is>
      </c>
      <c r="E109" s="32" t="n">
        <v>89434.5</v>
      </c>
    </row>
    <row r="110">
      <c r="A110" s="31" t="n">
        <v>46260</v>
      </c>
      <c r="B110" s="30" t="inlineStr">
        <is>
          <t>FA-2026-0131</t>
        </is>
      </c>
      <c r="C110" s="30">
        <f>IFERROR(INDEX(Factures!$D:$D,MATCH(B110,Factures!$A:$A,0)),"Facture inconnue")</f>
        <v/>
      </c>
      <c r="D110" s="30" t="inlineStr">
        <is>
          <t>Virement</t>
        </is>
      </c>
      <c r="E110" s="32" t="n">
        <v>64197.8</v>
      </c>
    </row>
    <row r="111">
      <c r="A111" s="31" t="n">
        <v>46261</v>
      </c>
      <c r="B111" s="30" t="inlineStr">
        <is>
          <t>FA-2026-0072</t>
        </is>
      </c>
      <c r="C111" s="30">
        <f>IFERROR(INDEX(Factures!$D:$D,MATCH(B111,Factures!$A:$A,0)),"Facture inconnue")</f>
        <v/>
      </c>
      <c r="D111" s="30" t="inlineStr">
        <is>
          <t>Chèque</t>
        </is>
      </c>
      <c r="E111" s="32" t="n">
        <v>538665.2</v>
      </c>
    </row>
    <row r="112">
      <c r="A112" s="31" t="n">
        <v>46264</v>
      </c>
      <c r="B112" s="30" t="inlineStr">
        <is>
          <t>FA-2026-0095</t>
        </is>
      </c>
      <c r="C112" s="30">
        <f>IFERROR(INDEX(Factures!$D:$D,MATCH(B112,Factures!$A:$A,0)),"Facture inconnue")</f>
        <v/>
      </c>
      <c r="D112" s="30" t="inlineStr">
        <is>
          <t>Virement</t>
        </is>
      </c>
      <c r="E112" s="32" t="n">
        <v>40417.2</v>
      </c>
    </row>
    <row r="113">
      <c r="A113" s="31" t="n">
        <v>46266</v>
      </c>
      <c r="B113" s="30" t="inlineStr">
        <is>
          <t>FA-2026-0112</t>
        </is>
      </c>
      <c r="C113" s="30">
        <f>IFERROR(INDEX(Factures!$D:$D,MATCH(B113,Factures!$A:$A,0)),"Facture inconnue")</f>
        <v/>
      </c>
      <c r="D113" s="30" t="inlineStr">
        <is>
          <t>Espèces</t>
        </is>
      </c>
      <c r="E113" s="32" t="n">
        <v>115363.8</v>
      </c>
    </row>
    <row r="114">
      <c r="A114" s="31" t="n">
        <v>46266</v>
      </c>
      <c r="B114" s="30" t="inlineStr">
        <is>
          <t>FA-2026-0120</t>
        </is>
      </c>
      <c r="C114" s="30">
        <f>IFERROR(INDEX(Factures!$D:$D,MATCH(B114,Factures!$A:$A,0)),"Facture inconnue")</f>
        <v/>
      </c>
      <c r="D114" s="30" t="inlineStr">
        <is>
          <t>Virement</t>
        </is>
      </c>
      <c r="E114" s="32" t="n">
        <v>55551</v>
      </c>
    </row>
    <row r="115">
      <c r="A115" s="31" t="n">
        <v>46267</v>
      </c>
      <c r="B115" s="30" t="inlineStr">
        <is>
          <t>FA-2026-0077</t>
        </is>
      </c>
      <c r="C115" s="30">
        <f>IFERROR(INDEX(Factures!$D:$D,MATCH(B115,Factures!$A:$A,0)),"Facture inconnue")</f>
        <v/>
      </c>
      <c r="D115" s="30" t="inlineStr">
        <is>
          <t>Virement</t>
        </is>
      </c>
      <c r="E115" s="32" t="n">
        <v>132029.4</v>
      </c>
    </row>
    <row r="116">
      <c r="A116" s="31" t="n">
        <v>46267</v>
      </c>
      <c r="B116" s="30" t="inlineStr">
        <is>
          <t>FA-2026-0134</t>
        </is>
      </c>
      <c r="C116" s="30">
        <f>IFERROR(INDEX(Factures!$D:$D,MATCH(B116,Factures!$A:$A,0)),"Facture inconnue")</f>
        <v/>
      </c>
      <c r="D116" s="30" t="inlineStr">
        <is>
          <t>Chèque</t>
        </is>
      </c>
      <c r="E116" s="32" t="n">
        <v>95021.39999999999</v>
      </c>
    </row>
    <row r="117">
      <c r="A117" s="31" t="n">
        <v>46269</v>
      </c>
      <c r="B117" s="30" t="inlineStr">
        <is>
          <t>FA-2026-0124</t>
        </is>
      </c>
      <c r="C117" s="30">
        <f>IFERROR(INDEX(Factures!$D:$D,MATCH(B117,Factures!$A:$A,0)),"Facture inconnue")</f>
        <v/>
      </c>
      <c r="D117" s="30" t="inlineStr">
        <is>
          <t>Espèces</t>
        </is>
      </c>
      <c r="E117" s="32" t="n">
        <v>40926.7</v>
      </c>
    </row>
    <row r="118">
      <c r="A118" s="31" t="n">
        <v>46269</v>
      </c>
      <c r="B118" s="30" t="inlineStr">
        <is>
          <t>FA-2026-0129</t>
        </is>
      </c>
      <c r="C118" s="30">
        <f>IFERROR(INDEX(Factures!$D:$D,MATCH(B118,Factures!$A:$A,0)),"Facture inconnue")</f>
        <v/>
      </c>
      <c r="D118" s="30" t="inlineStr">
        <is>
          <t>Espèces</t>
        </is>
      </c>
      <c r="E118" s="32" t="n">
        <v>71071.60000000001</v>
      </c>
    </row>
    <row r="119">
      <c r="A119" s="31" t="n">
        <v>46274</v>
      </c>
      <c r="B119" s="30" t="inlineStr">
        <is>
          <t>FA-2026-0128</t>
        </is>
      </c>
      <c r="C119" s="30">
        <f>IFERROR(INDEX(Factures!$D:$D,MATCH(B119,Factures!$A:$A,0)),"Facture inconnue")</f>
        <v/>
      </c>
      <c r="D119" s="30" t="inlineStr">
        <is>
          <t>CCP / BaridiMob</t>
        </is>
      </c>
      <c r="E119" s="32" t="n">
        <v>117100</v>
      </c>
    </row>
    <row r="120">
      <c r="A120" s="31" t="n">
        <v>46275</v>
      </c>
      <c r="B120" s="30" t="inlineStr">
        <is>
          <t>FA-2026-0091</t>
        </is>
      </c>
      <c r="C120" s="30">
        <f>IFERROR(INDEX(Factures!$D:$D,MATCH(B120,Factures!$A:$A,0)),"Facture inconnue")</f>
        <v/>
      </c>
      <c r="D120" s="30" t="inlineStr">
        <is>
          <t>Virement</t>
        </is>
      </c>
      <c r="E120" s="32" t="n">
        <v>65550</v>
      </c>
    </row>
    <row r="121">
      <c r="A121" s="31" t="n">
        <v>46277</v>
      </c>
      <c r="B121" s="30" t="inlineStr">
        <is>
          <t>FA-2026-0119</t>
        </is>
      </c>
      <c r="C121" s="30">
        <f>IFERROR(INDEX(Factures!$D:$D,MATCH(B121,Factures!$A:$A,0)),"Facture inconnue")</f>
        <v/>
      </c>
      <c r="D121" s="30" t="inlineStr">
        <is>
          <t>Chèque</t>
        </is>
      </c>
      <c r="E121" s="32" t="n">
        <v>15900</v>
      </c>
    </row>
    <row r="122">
      <c r="A122" s="31" t="n">
        <v>46277</v>
      </c>
      <c r="B122" s="30" t="inlineStr">
        <is>
          <t>FA-2026-0135</t>
        </is>
      </c>
      <c r="C122" s="30">
        <f>IFERROR(INDEX(Factures!$D:$D,MATCH(B122,Factures!$A:$A,0)),"Facture inconnue")</f>
        <v/>
      </c>
      <c r="D122" s="30" t="inlineStr">
        <is>
          <t>Virement</t>
        </is>
      </c>
      <c r="E122" s="32" t="n">
        <v>26966.6</v>
      </c>
    </row>
    <row r="123">
      <c r="A123" s="31" t="n">
        <v>46282</v>
      </c>
      <c r="B123" s="30" t="inlineStr">
        <is>
          <t>FA-2026-0138</t>
        </is>
      </c>
      <c r="C123" s="30">
        <f>IFERROR(INDEX(Factures!$D:$D,MATCH(B123,Factures!$A:$A,0)),"Facture inconnue")</f>
        <v/>
      </c>
      <c r="D123" s="30" t="inlineStr">
        <is>
          <t>Chèque</t>
        </is>
      </c>
      <c r="E123" s="32" t="n">
        <v>173512.3</v>
      </c>
    </row>
    <row r="124">
      <c r="A124" s="31" t="n">
        <v>46284</v>
      </c>
      <c r="B124" s="30" t="inlineStr">
        <is>
          <t>FA-2026-0103</t>
        </is>
      </c>
      <c r="C124" s="30">
        <f>IFERROR(INDEX(Factures!$D:$D,MATCH(B124,Factures!$A:$A,0)),"Facture inconnue")</f>
        <v/>
      </c>
      <c r="D124" s="30" t="inlineStr">
        <is>
          <t>Espèces</t>
        </is>
      </c>
      <c r="E124" s="32" t="n">
        <v>268314.4</v>
      </c>
    </row>
    <row r="125">
      <c r="A125" s="31" t="n">
        <v>46287</v>
      </c>
      <c r="B125" s="30" t="inlineStr">
        <is>
          <t>FA-2026-0107</t>
        </is>
      </c>
      <c r="C125" s="30">
        <f>IFERROR(INDEX(Factures!$D:$D,MATCH(B125,Factures!$A:$A,0)),"Facture inconnue")</f>
        <v/>
      </c>
      <c r="D125" s="30" t="inlineStr">
        <is>
          <t>CCP / BaridiMob</t>
        </is>
      </c>
      <c r="E125" s="32" t="n">
        <v>175510.9</v>
      </c>
    </row>
    <row r="126">
      <c r="A126" s="31" t="n">
        <v>46291</v>
      </c>
      <c r="B126" s="30" t="inlineStr">
        <is>
          <t>FA-2026-0145</t>
        </is>
      </c>
      <c r="C126" s="30">
        <f>IFERROR(INDEX(Factures!$D:$D,MATCH(B126,Factures!$A:$A,0)),"Facture inconnue")</f>
        <v/>
      </c>
      <c r="D126" s="30" t="inlineStr">
        <is>
          <t>Virement</t>
        </is>
      </c>
      <c r="E126" s="32" t="n">
        <v>42397.44</v>
      </c>
    </row>
    <row r="127">
      <c r="A127" s="31" t="n">
        <v>46293</v>
      </c>
      <c r="B127" s="30" t="inlineStr">
        <is>
          <t>FA-2026-0142</t>
        </is>
      </c>
      <c r="C127" s="30">
        <f>IFERROR(INDEX(Factures!$D:$D,MATCH(B127,Factures!$A:$A,0)),"Facture inconnue")</f>
        <v/>
      </c>
      <c r="D127" s="30" t="inlineStr">
        <is>
          <t>Chèque</t>
        </is>
      </c>
      <c r="E127" s="32" t="n">
        <v>16688.5</v>
      </c>
    </row>
    <row r="128">
      <c r="A128" s="31" t="n">
        <v>46293</v>
      </c>
      <c r="B128" s="30" t="inlineStr">
        <is>
          <t>FA-2026-0147</t>
        </is>
      </c>
      <c r="C128" s="30">
        <f>IFERROR(INDEX(Factures!$D:$D,MATCH(B128,Factures!$A:$A,0)),"Facture inconnue")</f>
        <v/>
      </c>
      <c r="D128" s="30" t="inlineStr">
        <is>
          <t>Espèces</t>
        </is>
      </c>
      <c r="E128" s="32" t="n">
        <v>217826.2</v>
      </c>
    </row>
    <row r="129">
      <c r="A129" s="31" t="n">
        <v>46298</v>
      </c>
      <c r="B129" s="30" t="inlineStr">
        <is>
          <t>FA-2026-0151</t>
        </is>
      </c>
      <c r="C129" s="30">
        <f>IFERROR(INDEX(Factures!$D:$D,MATCH(B129,Factures!$A:$A,0)),"Facture inconnue")</f>
        <v/>
      </c>
      <c r="D129" s="30" t="inlineStr">
        <is>
          <t>Espèces</t>
        </is>
      </c>
      <c r="E129" s="32" t="n">
        <v>24828.4</v>
      </c>
    </row>
    <row r="130">
      <c r="A130" s="31" t="n">
        <v>46299</v>
      </c>
      <c r="B130" s="30" t="inlineStr">
        <is>
          <t>FA-2026-0144</t>
        </is>
      </c>
      <c r="C130" s="30">
        <f>IFERROR(INDEX(Factures!$D:$D,MATCH(B130,Factures!$A:$A,0)),"Facture inconnue")</f>
        <v/>
      </c>
      <c r="D130" s="30" t="inlineStr">
        <is>
          <t>Virement</t>
        </is>
      </c>
      <c r="E130" s="32" t="n">
        <v>153014.8</v>
      </c>
    </row>
    <row r="131">
      <c r="A131" s="31" t="n">
        <v>46300</v>
      </c>
      <c r="B131" s="30" t="inlineStr">
        <is>
          <t>FA-2026-0126</t>
        </is>
      </c>
      <c r="C131" s="30">
        <f>IFERROR(INDEX(Factures!$D:$D,MATCH(B131,Factures!$A:$A,0)),"Facture inconnue")</f>
        <v/>
      </c>
      <c r="D131" s="30" t="inlineStr">
        <is>
          <t>Chèque</t>
        </is>
      </c>
      <c r="E131" s="32" t="n">
        <v>125305.07</v>
      </c>
    </row>
    <row r="132">
      <c r="A132" s="31" t="n">
        <v>46302</v>
      </c>
      <c r="B132" s="30" t="inlineStr">
        <is>
          <t>FA-2026-0141</t>
        </is>
      </c>
      <c r="C132" s="30">
        <f>IFERROR(INDEX(Factures!$D:$D,MATCH(B132,Factures!$A:$A,0)),"Facture inconnue")</f>
        <v/>
      </c>
      <c r="D132" s="30" t="inlineStr">
        <is>
          <t>Espèces</t>
        </is>
      </c>
      <c r="E132" s="32" t="n">
        <v>28700</v>
      </c>
    </row>
    <row r="133">
      <c r="A133" s="31" t="n">
        <v>46302</v>
      </c>
      <c r="B133" s="30" t="inlineStr">
        <is>
          <t>FA-2026-0148</t>
        </is>
      </c>
      <c r="C133" s="30">
        <f>IFERROR(INDEX(Factures!$D:$D,MATCH(B133,Factures!$A:$A,0)),"Facture inconnue")</f>
        <v/>
      </c>
      <c r="D133" s="30" t="inlineStr">
        <is>
          <t>Chèque</t>
        </is>
      </c>
      <c r="E133" s="32" t="n">
        <v>26181.8</v>
      </c>
    </row>
    <row r="134">
      <c r="A134" s="31" t="n">
        <v>46303</v>
      </c>
      <c r="B134" s="30" t="inlineStr">
        <is>
          <t>FA-2026-0133</t>
        </is>
      </c>
      <c r="C134" s="30">
        <f>IFERROR(INDEX(Factures!$D:$D,MATCH(B134,Factures!$A:$A,0)),"Facture inconnue")</f>
        <v/>
      </c>
      <c r="D134" s="30" t="inlineStr">
        <is>
          <t>Virement</t>
        </is>
      </c>
      <c r="E134" s="32" t="n">
        <v>65525.21</v>
      </c>
    </row>
    <row r="135">
      <c r="A135" s="31" t="n">
        <v>46307</v>
      </c>
      <c r="B135" s="30" t="inlineStr">
        <is>
          <t>FA-2026-0132</t>
        </is>
      </c>
      <c r="C135" s="30">
        <f>IFERROR(INDEX(Factures!$D:$D,MATCH(B135,Factures!$A:$A,0)),"Facture inconnue")</f>
        <v/>
      </c>
      <c r="D135" s="30" t="inlineStr">
        <is>
          <t>Virement</t>
        </is>
      </c>
      <c r="E135" s="32" t="n">
        <v>56843.5</v>
      </c>
    </row>
    <row r="136">
      <c r="A136" s="31" t="n">
        <v>46310</v>
      </c>
      <c r="B136" s="30" t="inlineStr">
        <is>
          <t>FA-2026-0146</t>
        </is>
      </c>
      <c r="C136" s="30">
        <f>IFERROR(INDEX(Factures!$D:$D,MATCH(B136,Factures!$A:$A,0)),"Facture inconnue")</f>
        <v/>
      </c>
      <c r="D136" s="30" t="inlineStr">
        <is>
          <t>Chèque</t>
        </is>
      </c>
      <c r="E136" s="32" t="n">
        <v>17300</v>
      </c>
    </row>
    <row r="137">
      <c r="A137" s="31" t="n">
        <v>46317</v>
      </c>
      <c r="B137" s="30" t="inlineStr">
        <is>
          <t>FA-2026-0139</t>
        </is>
      </c>
      <c r="C137" s="30">
        <f>IFERROR(INDEX(Factures!$D:$D,MATCH(B137,Factures!$A:$A,0)),"Facture inconnue")</f>
        <v/>
      </c>
      <c r="D137" s="30" t="inlineStr">
        <is>
          <t>CCP / BaridiMob</t>
        </is>
      </c>
      <c r="E137" s="32" t="n">
        <v>136052.97</v>
      </c>
    </row>
    <row r="138">
      <c r="A138" s="31" t="n">
        <v>46318</v>
      </c>
      <c r="B138" s="30" t="inlineStr">
        <is>
          <t>FA-2026-0160</t>
        </is>
      </c>
      <c r="C138" s="30">
        <f>IFERROR(INDEX(Factures!$D:$D,MATCH(B138,Factures!$A:$A,0)),"Facture inconnue")</f>
        <v/>
      </c>
      <c r="D138" s="30" t="inlineStr">
        <is>
          <t>Chèque</t>
        </is>
      </c>
      <c r="E138" s="32" t="n">
        <v>32133.2</v>
      </c>
    </row>
    <row r="139">
      <c r="A139" s="31" t="n">
        <v>46322</v>
      </c>
      <c r="B139" s="30" t="inlineStr">
        <is>
          <t>FA-2026-0164</t>
        </is>
      </c>
      <c r="C139" s="30">
        <f>IFERROR(INDEX(Factures!$D:$D,MATCH(B139,Factures!$A:$A,0)),"Facture inconnue")</f>
        <v/>
      </c>
      <c r="D139" s="30" t="inlineStr">
        <is>
          <t>CCP / BaridiMob</t>
        </is>
      </c>
      <c r="E139" s="32" t="n">
        <v>107440.5</v>
      </c>
    </row>
    <row r="140">
      <c r="A140" s="31" t="n">
        <v>46323</v>
      </c>
      <c r="B140" s="30" t="inlineStr">
        <is>
          <t>FA-2026-0156</t>
        </is>
      </c>
      <c r="C140" s="30">
        <f>IFERROR(INDEX(Factures!$D:$D,MATCH(B140,Factures!$A:$A,0)),"Facture inconnue")</f>
        <v/>
      </c>
      <c r="D140" s="30" t="inlineStr">
        <is>
          <t>Chèque</t>
        </is>
      </c>
      <c r="E140" s="32" t="n">
        <v>7500</v>
      </c>
    </row>
    <row r="141">
      <c r="A141" s="31" t="n">
        <v>46324</v>
      </c>
      <c r="B141" s="30" t="inlineStr">
        <is>
          <t>FA-2026-0150</t>
        </is>
      </c>
      <c r="C141" s="30">
        <f>IFERROR(INDEX(Factures!$D:$D,MATCH(B141,Factures!$A:$A,0)),"Facture inconnue")</f>
        <v/>
      </c>
      <c r="D141" s="30" t="inlineStr">
        <is>
          <t>Virement</t>
        </is>
      </c>
      <c r="E141" s="32" t="n">
        <v>35303</v>
      </c>
    </row>
  </sheetData>
  <dataValidations count="2">
    <dataValidation sqref="D2:D341" showDropDown="0" showInputMessage="0" showErrorMessage="0" allowBlank="1" type="list">
      <formula1>ListeModes</formula1>
    </dataValidation>
    <dataValidation sqref="B2:B341" showDropDown="0" showInputMessage="0" showErrorMessage="0" allowBlank="1" type="list">
      <formula1>Factures!$A$2:$A$268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5B6B2F"/>
    <outlinePr summaryBelow="1" summaryRight="1"/>
    <pageSetUpPr fitToPage="1"/>
  </sheetPr>
  <dimension ref="B1:K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38" customWidth="1" min="3" max="3"/>
    <col width="9" customWidth="1" min="4" max="4"/>
    <col width="14" customWidth="1" min="5" max="5"/>
    <col width="9" customWidth="1" min="6" max="6"/>
    <col width="9" customWidth="1" min="7" max="7"/>
    <col width="16" customWidth="1" min="8" max="8"/>
    <col width="3" customWidth="1" min="9" max="9"/>
    <col hidden="1" width="13" customWidth="1" min="10" max="10"/>
    <col hidden="1" width="13" customWidth="1" min="11" max="11"/>
  </cols>
  <sheetData>
    <row r="1">
      <c r="J1">
        <f>MATCH($G$3,Lignes!$A:$A,0)</f>
        <v/>
      </c>
      <c r="K1">
        <f>COUNTIF(Lignes!$A:$A,$G$3)</f>
        <v/>
      </c>
    </row>
    <row r="2">
      <c r="B2" s="36">
        <f>Societe</f>
        <v/>
      </c>
      <c r="F2" s="37" t="inlineStr">
        <is>
          <t>FACTURE</t>
        </is>
      </c>
    </row>
    <row r="3">
      <c r="B3" s="2">
        <f>Paramètres!B5</f>
        <v/>
      </c>
      <c r="F3" s="38" t="inlineStr">
        <is>
          <t>N°</t>
        </is>
      </c>
      <c r="G3" s="39" t="inlineStr">
        <is>
          <t>FA-2026-0162</t>
        </is>
      </c>
    </row>
    <row r="4">
      <c r="B4" s="2">
        <f>Paramètres!B6</f>
        <v/>
      </c>
      <c r="F4" s="38" t="inlineStr">
        <is>
          <t>Date</t>
        </is>
      </c>
      <c r="G4" s="40">
        <f>INDEX(Factures!$B:$B,MATCH($G$3,Factures!$A:$A,0))</f>
        <v/>
      </c>
    </row>
    <row r="5">
      <c r="F5" s="38" t="inlineStr">
        <is>
          <t>Échéance</t>
        </is>
      </c>
      <c r="G5" s="40">
        <f>INDEX(Factures!$E:$E,MATCH($G$3,Factures!$A:$A,0))</f>
        <v/>
      </c>
    </row>
    <row r="6">
      <c r="B6" s="3" t="n"/>
      <c r="C6" s="3" t="n"/>
      <c r="D6" s="3" t="n"/>
      <c r="E6" s="3" t="n"/>
      <c r="F6" s="3" t="n"/>
      <c r="G6" s="3" t="n"/>
      <c r="H6" s="3" t="n"/>
    </row>
    <row r="8">
      <c r="B8" s="41" t="inlineStr">
        <is>
          <t>FACTURÉ À</t>
        </is>
      </c>
      <c r="F8" s="41" t="inlineStr">
        <is>
          <t>STATUT</t>
        </is>
      </c>
    </row>
    <row r="9">
      <c r="B9" s="22">
        <f>INDEX(Factures!$D:$D,MATCH($G$3,Factures!$A:$A,0))</f>
        <v/>
      </c>
      <c r="F9" s="42">
        <f>INDEX(Factures!$K:$K,MATCH($G$3,Factures!$A:$A,0))</f>
        <v/>
      </c>
    </row>
    <row r="10">
      <c r="B10" s="2">
        <f>INDEX(Clients!$C:$C,MATCH(INDEX(Factures!$C:$C,MATCH($G$3,Factures!$A:$A,0)),Clients!$A:$A,0))&amp;" — Algérie"</f>
        <v/>
      </c>
    </row>
    <row r="12" ht="24" customHeight="1">
      <c r="B12" s="43" t="inlineStr">
        <is>
          <t>Réf</t>
        </is>
      </c>
      <c r="C12" s="43" t="inlineStr">
        <is>
          <t>Désignation</t>
        </is>
      </c>
      <c r="D12" s="44" t="inlineStr">
        <is>
          <t>Qté</t>
        </is>
      </c>
      <c r="E12" s="44" t="inlineStr">
        <is>
          <t>PU HT</t>
        </is>
      </c>
      <c r="F12" s="44" t="inlineStr">
        <is>
          <t>Remise</t>
        </is>
      </c>
      <c r="G12" s="44" t="inlineStr">
        <is>
          <t>TVA</t>
        </is>
      </c>
      <c r="H12" s="44" t="inlineStr">
        <is>
          <t>Montant HT</t>
        </is>
      </c>
    </row>
    <row r="13">
      <c r="B13" s="45">
        <f>IF(1&lt;=$K$1,INDEX(Lignes!$B:$B,$J$1+0),"")</f>
        <v/>
      </c>
      <c r="C13" s="45">
        <f>IF(1&lt;=$K$1,INDEX(Lignes!$C:$C,$J$1+0),"")</f>
        <v/>
      </c>
      <c r="D13" s="46">
        <f>IF(1&lt;=$K$1,INDEX(Lignes!$D:$D,$J$1+0),"")</f>
        <v/>
      </c>
      <c r="E13" s="47">
        <f>IF(1&lt;=$K$1,INDEX(Lignes!$E:$E,$J$1+0),"")</f>
        <v/>
      </c>
      <c r="F13" s="48">
        <f>IF(1&lt;=$K$1,INDEX(Lignes!$F:$F,$J$1+0),"")</f>
        <v/>
      </c>
      <c r="G13" s="48">
        <f>IF(1&lt;=$K$1,INDEX(Lignes!$G:$G,$J$1+0),"")</f>
        <v/>
      </c>
      <c r="H13" s="47">
        <f>IF(1&lt;=$K$1,INDEX(Lignes!$H:$H,$J$1+0),"")</f>
        <v/>
      </c>
    </row>
    <row r="14">
      <c r="B14" s="45">
        <f>IF(2&lt;=$K$1,INDEX(Lignes!$B:$B,$J$1+1),"")</f>
        <v/>
      </c>
      <c r="C14" s="45">
        <f>IF(2&lt;=$K$1,INDEX(Lignes!$C:$C,$J$1+1),"")</f>
        <v/>
      </c>
      <c r="D14" s="46">
        <f>IF(2&lt;=$K$1,INDEX(Lignes!$D:$D,$J$1+1),"")</f>
        <v/>
      </c>
      <c r="E14" s="47">
        <f>IF(2&lt;=$K$1,INDEX(Lignes!$E:$E,$J$1+1),"")</f>
        <v/>
      </c>
      <c r="F14" s="48">
        <f>IF(2&lt;=$K$1,INDEX(Lignes!$F:$F,$J$1+1),"")</f>
        <v/>
      </c>
      <c r="G14" s="48">
        <f>IF(2&lt;=$K$1,INDEX(Lignes!$G:$G,$J$1+1),"")</f>
        <v/>
      </c>
      <c r="H14" s="47">
        <f>IF(2&lt;=$K$1,INDEX(Lignes!$H:$H,$J$1+1),"")</f>
        <v/>
      </c>
    </row>
    <row r="15">
      <c r="B15" s="45">
        <f>IF(3&lt;=$K$1,INDEX(Lignes!$B:$B,$J$1+2),"")</f>
        <v/>
      </c>
      <c r="C15" s="45">
        <f>IF(3&lt;=$K$1,INDEX(Lignes!$C:$C,$J$1+2),"")</f>
        <v/>
      </c>
      <c r="D15" s="46">
        <f>IF(3&lt;=$K$1,INDEX(Lignes!$D:$D,$J$1+2),"")</f>
        <v/>
      </c>
      <c r="E15" s="47">
        <f>IF(3&lt;=$K$1,INDEX(Lignes!$E:$E,$J$1+2),"")</f>
        <v/>
      </c>
      <c r="F15" s="48">
        <f>IF(3&lt;=$K$1,INDEX(Lignes!$F:$F,$J$1+2),"")</f>
        <v/>
      </c>
      <c r="G15" s="48">
        <f>IF(3&lt;=$K$1,INDEX(Lignes!$G:$G,$J$1+2),"")</f>
        <v/>
      </c>
      <c r="H15" s="47">
        <f>IF(3&lt;=$K$1,INDEX(Lignes!$H:$H,$J$1+2),"")</f>
        <v/>
      </c>
    </row>
    <row r="16">
      <c r="B16" s="45">
        <f>IF(4&lt;=$K$1,INDEX(Lignes!$B:$B,$J$1+3),"")</f>
        <v/>
      </c>
      <c r="C16" s="45">
        <f>IF(4&lt;=$K$1,INDEX(Lignes!$C:$C,$J$1+3),"")</f>
        <v/>
      </c>
      <c r="D16" s="46">
        <f>IF(4&lt;=$K$1,INDEX(Lignes!$D:$D,$J$1+3),"")</f>
        <v/>
      </c>
      <c r="E16" s="47">
        <f>IF(4&lt;=$K$1,INDEX(Lignes!$E:$E,$J$1+3),"")</f>
        <v/>
      </c>
      <c r="F16" s="48">
        <f>IF(4&lt;=$K$1,INDEX(Lignes!$F:$F,$J$1+3),"")</f>
        <v/>
      </c>
      <c r="G16" s="48">
        <f>IF(4&lt;=$K$1,INDEX(Lignes!$G:$G,$J$1+3),"")</f>
        <v/>
      </c>
      <c r="H16" s="47">
        <f>IF(4&lt;=$K$1,INDEX(Lignes!$H:$H,$J$1+3),"")</f>
        <v/>
      </c>
    </row>
    <row r="17">
      <c r="B17" s="45">
        <f>IF(5&lt;=$K$1,INDEX(Lignes!$B:$B,$J$1+4),"")</f>
        <v/>
      </c>
      <c r="C17" s="45">
        <f>IF(5&lt;=$K$1,INDEX(Lignes!$C:$C,$J$1+4),"")</f>
        <v/>
      </c>
      <c r="D17" s="46">
        <f>IF(5&lt;=$K$1,INDEX(Lignes!$D:$D,$J$1+4),"")</f>
        <v/>
      </c>
      <c r="E17" s="47">
        <f>IF(5&lt;=$K$1,INDEX(Lignes!$E:$E,$J$1+4),"")</f>
        <v/>
      </c>
      <c r="F17" s="48">
        <f>IF(5&lt;=$K$1,INDEX(Lignes!$F:$F,$J$1+4),"")</f>
        <v/>
      </c>
      <c r="G17" s="48">
        <f>IF(5&lt;=$K$1,INDEX(Lignes!$G:$G,$J$1+4),"")</f>
        <v/>
      </c>
      <c r="H17" s="47">
        <f>IF(5&lt;=$K$1,INDEX(Lignes!$H:$H,$J$1+4),"")</f>
        <v/>
      </c>
    </row>
    <row r="18">
      <c r="B18" s="45">
        <f>IF(6&lt;=$K$1,INDEX(Lignes!$B:$B,$J$1+5),"")</f>
        <v/>
      </c>
      <c r="C18" s="45">
        <f>IF(6&lt;=$K$1,INDEX(Lignes!$C:$C,$J$1+5),"")</f>
        <v/>
      </c>
      <c r="D18" s="46">
        <f>IF(6&lt;=$K$1,INDEX(Lignes!$D:$D,$J$1+5),"")</f>
        <v/>
      </c>
      <c r="E18" s="47">
        <f>IF(6&lt;=$K$1,INDEX(Lignes!$E:$E,$J$1+5),"")</f>
        <v/>
      </c>
      <c r="F18" s="48">
        <f>IF(6&lt;=$K$1,INDEX(Lignes!$F:$F,$J$1+5),"")</f>
        <v/>
      </c>
      <c r="G18" s="48">
        <f>IF(6&lt;=$K$1,INDEX(Lignes!$G:$G,$J$1+5),"")</f>
        <v/>
      </c>
      <c r="H18" s="47">
        <f>IF(6&lt;=$K$1,INDEX(Lignes!$H:$H,$J$1+5),"")</f>
        <v/>
      </c>
    </row>
    <row r="19">
      <c r="B19" s="45">
        <f>IF(7&lt;=$K$1,INDEX(Lignes!$B:$B,$J$1+6),"")</f>
        <v/>
      </c>
      <c r="C19" s="45">
        <f>IF(7&lt;=$K$1,INDEX(Lignes!$C:$C,$J$1+6),"")</f>
        <v/>
      </c>
      <c r="D19" s="46">
        <f>IF(7&lt;=$K$1,INDEX(Lignes!$D:$D,$J$1+6),"")</f>
        <v/>
      </c>
      <c r="E19" s="47">
        <f>IF(7&lt;=$K$1,INDEX(Lignes!$E:$E,$J$1+6),"")</f>
        <v/>
      </c>
      <c r="F19" s="48">
        <f>IF(7&lt;=$K$1,INDEX(Lignes!$F:$F,$J$1+6),"")</f>
        <v/>
      </c>
      <c r="G19" s="48">
        <f>IF(7&lt;=$K$1,INDEX(Lignes!$G:$G,$J$1+6),"")</f>
        <v/>
      </c>
      <c r="H19" s="47">
        <f>IF(7&lt;=$K$1,INDEX(Lignes!$H:$H,$J$1+6),"")</f>
        <v/>
      </c>
    </row>
    <row r="20">
      <c r="B20" s="45">
        <f>IF(8&lt;=$K$1,INDEX(Lignes!$B:$B,$J$1+7),"")</f>
        <v/>
      </c>
      <c r="C20" s="45">
        <f>IF(8&lt;=$K$1,INDEX(Lignes!$C:$C,$J$1+7),"")</f>
        <v/>
      </c>
      <c r="D20" s="46">
        <f>IF(8&lt;=$K$1,INDEX(Lignes!$D:$D,$J$1+7),"")</f>
        <v/>
      </c>
      <c r="E20" s="47">
        <f>IF(8&lt;=$K$1,INDEX(Lignes!$E:$E,$J$1+7),"")</f>
        <v/>
      </c>
      <c r="F20" s="48">
        <f>IF(8&lt;=$K$1,INDEX(Lignes!$F:$F,$J$1+7),"")</f>
        <v/>
      </c>
      <c r="G20" s="48">
        <f>IF(8&lt;=$K$1,INDEX(Lignes!$G:$G,$J$1+7),"")</f>
        <v/>
      </c>
      <c r="H20" s="47">
        <f>IF(8&lt;=$K$1,INDEX(Lignes!$H:$H,$J$1+7),"")</f>
        <v/>
      </c>
    </row>
    <row r="21">
      <c r="B21" s="45">
        <f>IF(9&lt;=$K$1,INDEX(Lignes!$B:$B,$J$1+8),"")</f>
        <v/>
      </c>
      <c r="C21" s="45">
        <f>IF(9&lt;=$K$1,INDEX(Lignes!$C:$C,$J$1+8),"")</f>
        <v/>
      </c>
      <c r="D21" s="46">
        <f>IF(9&lt;=$K$1,INDEX(Lignes!$D:$D,$J$1+8),"")</f>
        <v/>
      </c>
      <c r="E21" s="47">
        <f>IF(9&lt;=$K$1,INDEX(Lignes!$E:$E,$J$1+8),"")</f>
        <v/>
      </c>
      <c r="F21" s="48">
        <f>IF(9&lt;=$K$1,INDEX(Lignes!$F:$F,$J$1+8),"")</f>
        <v/>
      </c>
      <c r="G21" s="48">
        <f>IF(9&lt;=$K$1,INDEX(Lignes!$G:$G,$J$1+8),"")</f>
        <v/>
      </c>
      <c r="H21" s="47">
        <f>IF(9&lt;=$K$1,INDEX(Lignes!$H:$H,$J$1+8),"")</f>
        <v/>
      </c>
    </row>
    <row r="22">
      <c r="B22" s="45">
        <f>IF(10&lt;=$K$1,INDEX(Lignes!$B:$B,$J$1+9),"")</f>
        <v/>
      </c>
      <c r="C22" s="45">
        <f>IF(10&lt;=$K$1,INDEX(Lignes!$C:$C,$J$1+9),"")</f>
        <v/>
      </c>
      <c r="D22" s="46">
        <f>IF(10&lt;=$K$1,INDEX(Lignes!$D:$D,$J$1+9),"")</f>
        <v/>
      </c>
      <c r="E22" s="47">
        <f>IF(10&lt;=$K$1,INDEX(Lignes!$E:$E,$J$1+9),"")</f>
        <v/>
      </c>
      <c r="F22" s="48">
        <f>IF(10&lt;=$K$1,INDEX(Lignes!$F:$F,$J$1+9),"")</f>
        <v/>
      </c>
      <c r="G22" s="48">
        <f>IF(10&lt;=$K$1,INDEX(Lignes!$G:$G,$J$1+9),"")</f>
        <v/>
      </c>
      <c r="H22" s="47">
        <f>IF(10&lt;=$K$1,INDEX(Lignes!$H:$H,$J$1+9),"")</f>
        <v/>
      </c>
    </row>
    <row r="23">
      <c r="B23" s="45">
        <f>IF(11&lt;=$K$1,INDEX(Lignes!$B:$B,$J$1+10),"")</f>
        <v/>
      </c>
      <c r="C23" s="45">
        <f>IF(11&lt;=$K$1,INDEX(Lignes!$C:$C,$J$1+10),"")</f>
        <v/>
      </c>
      <c r="D23" s="46">
        <f>IF(11&lt;=$K$1,INDEX(Lignes!$D:$D,$J$1+10),"")</f>
        <v/>
      </c>
      <c r="E23" s="47">
        <f>IF(11&lt;=$K$1,INDEX(Lignes!$E:$E,$J$1+10),"")</f>
        <v/>
      </c>
      <c r="F23" s="48">
        <f>IF(11&lt;=$K$1,INDEX(Lignes!$F:$F,$J$1+10),"")</f>
        <v/>
      </c>
      <c r="G23" s="48">
        <f>IF(11&lt;=$K$1,INDEX(Lignes!$G:$G,$J$1+10),"")</f>
        <v/>
      </c>
      <c r="H23" s="47">
        <f>IF(11&lt;=$K$1,INDEX(Lignes!$H:$H,$J$1+10),"")</f>
        <v/>
      </c>
    </row>
    <row r="24">
      <c r="B24" s="45">
        <f>IF(12&lt;=$K$1,INDEX(Lignes!$B:$B,$J$1+11),"")</f>
        <v/>
      </c>
      <c r="C24" s="45">
        <f>IF(12&lt;=$K$1,INDEX(Lignes!$C:$C,$J$1+11),"")</f>
        <v/>
      </c>
      <c r="D24" s="46">
        <f>IF(12&lt;=$K$1,INDEX(Lignes!$D:$D,$J$1+11),"")</f>
        <v/>
      </c>
      <c r="E24" s="47">
        <f>IF(12&lt;=$K$1,INDEX(Lignes!$E:$E,$J$1+11),"")</f>
        <v/>
      </c>
      <c r="F24" s="48">
        <f>IF(12&lt;=$K$1,INDEX(Lignes!$F:$F,$J$1+11),"")</f>
        <v/>
      </c>
      <c r="G24" s="48">
        <f>IF(12&lt;=$K$1,INDEX(Lignes!$G:$G,$J$1+11),"")</f>
        <v/>
      </c>
      <c r="H24" s="47">
        <f>IF(12&lt;=$K$1,INDEX(Lignes!$H:$H,$J$1+11),"")</f>
        <v/>
      </c>
    </row>
    <row r="26">
      <c r="B26" s="41" t="inlineStr">
        <is>
          <t>Conditions</t>
        </is>
      </c>
      <c r="F26" s="49" t="inlineStr">
        <is>
          <t>Total HT</t>
        </is>
      </c>
      <c r="H26" s="50">
        <f>SUM(H13:H24)</f>
        <v/>
      </c>
    </row>
    <row r="27">
      <c r="B27" s="51">
        <f>"Paiement à "&amp;INDEX(Clients!$D:$D,MATCH(INDEX(Factures!$C:$C,MATCH($G$3,Factures!$A:$A,0)),Clients!$A:$A,0))&amp;" jours par virement, chèque ou CCP. Merci de rappeler le numéro de facture."</f>
        <v/>
      </c>
      <c r="F27" s="49" t="inlineStr">
        <is>
          <t>TVA</t>
        </is>
      </c>
      <c r="H27" s="50">
        <f>INDEX(Factures!$G:$G,MATCH($G$3,Factures!$A:$A,0))</f>
        <v/>
      </c>
    </row>
    <row r="28">
      <c r="F28" s="52" t="inlineStr">
        <is>
          <t>Total TTC</t>
        </is>
      </c>
      <c r="H28" s="53">
        <f>H26+H27</f>
        <v/>
      </c>
    </row>
    <row r="29">
      <c r="F29" s="49" t="inlineStr">
        <is>
          <t>Déjà encaissé</t>
        </is>
      </c>
      <c r="H29" s="50">
        <f>INDEX(Factures!$I:$I,MATCH($G$3,Factures!$A:$A,0))</f>
        <v/>
      </c>
    </row>
    <row r="30">
      <c r="F30" s="54" t="inlineStr">
        <is>
          <t>Reste à payer</t>
        </is>
      </c>
      <c r="G30" s="27" t="n"/>
      <c r="H30" s="55">
        <f>H28-H29</f>
        <v/>
      </c>
    </row>
    <row r="33">
      <c r="B33" s="56">
        <f>Paramètres!B9</f>
        <v/>
      </c>
    </row>
  </sheetData>
  <mergeCells count="17">
    <mergeCell ref="G4:H4"/>
    <mergeCell ref="B9:E9"/>
    <mergeCell ref="F30:G30"/>
    <mergeCell ref="B4:E4"/>
    <mergeCell ref="F29:G29"/>
    <mergeCell ref="B27:D29"/>
    <mergeCell ref="G5:H5"/>
    <mergeCell ref="F2:H2"/>
    <mergeCell ref="B3:E3"/>
    <mergeCell ref="B2:E2"/>
    <mergeCell ref="F9:H9"/>
    <mergeCell ref="F28:G28"/>
    <mergeCell ref="B10:E10"/>
    <mergeCell ref="F27:G27"/>
    <mergeCell ref="F26:G26"/>
    <mergeCell ref="G3:H3"/>
    <mergeCell ref="B33:H33"/>
  </mergeCells>
  <conditionalFormatting sqref="F9">
    <cfRule type="cellIs" priority="1" operator="equal" dxfId="0">
      <formula>"En retard"</formula>
    </cfRule>
    <cfRule type="cellIs" priority="2" operator="equal" dxfId="6">
      <formula>"Payée"</formula>
    </cfRule>
    <cfRule type="cellIs" priority="3" operator="equal" dxfId="7">
      <formula>"Partielle"</formula>
    </cfRule>
    <cfRule type="cellIs" priority="4" operator="equal" dxfId="8">
      <formula>"À échéance"</formula>
    </cfRule>
  </conditionalFormatting>
  <dataValidations count="1">
    <dataValidation sqref="G3" showDropDown="0" showInputMessage="0" showErrorMessage="0" allowBlank="0" promptTitle="Choisir" prompt="Sélectionnez un numéro de facture" type="list">
      <formula1>Factures!$A$2:$A$168</formula1>
    </dataValidation>
  </dataValidations>
  <pageMargins left="0.75" right="0.75" top="1" bottom="1" header="0.5" footer="0.5"/>
  <pageSetup orientation="portrait" paperSize="9" fitToWidth="1"/>
</worksheet>
</file>

<file path=xl/worksheets/sheet6.xml><?xml version="1.0" encoding="utf-8"?>
<worksheet xmlns="http://schemas.openxmlformats.org/spreadsheetml/2006/main">
  <sheetPr>
    <tabColor rgb="00D0CCBE"/>
    <outlinePr summaryBelow="1" summaryRight="1"/>
    <pageSetUpPr/>
  </sheetPr>
  <dimension ref="A1:K1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12" customWidth="1" min="4" max="4"/>
    <col width="15" customWidth="1" min="5" max="5"/>
    <col width="16" customWidth="1" min="6" max="6"/>
    <col width="16" customWidth="1" min="7" max="7"/>
    <col width="16" customWidth="1" min="8" max="8"/>
    <col width="16" customWidth="1" min="9" max="9"/>
    <col width="14" customWidth="1" min="10" max="10"/>
    <col hidden="1" width="6" customWidth="1" min="11" max="11"/>
  </cols>
  <sheetData>
    <row r="1" ht="30" customHeight="1">
      <c r="A1" s="29" t="inlineStr">
        <is>
          <t>Code</t>
        </is>
      </c>
      <c r="B1" s="29" t="inlineStr">
        <is>
          <t>Client</t>
        </is>
      </c>
      <c r="C1" s="29" t="inlineStr">
        <is>
          <t>Ville</t>
        </is>
      </c>
      <c r="D1" s="29" t="inlineStr">
        <is>
          <t>Délai (jours)</t>
        </is>
      </c>
      <c r="E1" s="29" t="inlineStr">
        <is>
          <t>Plafond crédit</t>
        </is>
      </c>
      <c r="F1" s="29" t="inlineStr">
        <is>
          <t>Facturé TTC</t>
        </is>
      </c>
      <c r="G1" s="29" t="inlineStr">
        <is>
          <t>Encaissé</t>
        </is>
      </c>
      <c r="H1" s="29" t="inlineStr">
        <is>
          <t>Solde dû</t>
        </is>
      </c>
      <c r="I1" s="29" t="inlineStr">
        <is>
          <t>Dont en retard</t>
        </is>
      </c>
      <c r="J1" s="29" t="inlineStr">
        <is>
          <t>Utilisation plafond</t>
        </is>
      </c>
      <c r="K1" s="29" t="inlineStr">
        <is>
          <t>Rang</t>
        </is>
      </c>
    </row>
    <row r="2">
      <c r="A2" s="30" t="inlineStr">
        <is>
          <t>C01</t>
        </is>
      </c>
      <c r="B2" s="30" t="inlineStr">
        <is>
          <t>Supérette El Baraka</t>
        </is>
      </c>
      <c r="C2" s="30" t="inlineStr">
        <is>
          <t>Alger</t>
        </is>
      </c>
      <c r="D2" s="30" t="n">
        <v>30</v>
      </c>
      <c r="E2" s="57" t="n">
        <v>1600000</v>
      </c>
      <c r="F2" s="57">
        <f>SUMIFS(Factures!$H:$H,Factures!$C:$C,A2)</f>
        <v/>
      </c>
      <c r="G2" s="57">
        <f>SUMIFS(Factures!$I:$I,Factures!$C:$C,A2)</f>
        <v/>
      </c>
      <c r="H2" s="57">
        <f>F2-G2</f>
        <v/>
      </c>
      <c r="I2" s="57">
        <f>SUMIFS(Factures!$J:$J,Factures!$C:$C,A2,Factures!$K:$K,"En retard")</f>
        <v/>
      </c>
      <c r="J2" s="35">
        <f>IF(E2=0,0,H2/E2)</f>
        <v/>
      </c>
      <c r="K2" s="30">
        <f>H2+ROW()/1000000</f>
        <v/>
      </c>
    </row>
    <row r="3">
      <c r="A3" s="30" t="inlineStr">
        <is>
          <t>C02</t>
        </is>
      </c>
      <c r="B3" s="30" t="inlineStr">
        <is>
          <t>Épicerie Fine Zeriab</t>
        </is>
      </c>
      <c r="C3" s="30" t="inlineStr">
        <is>
          <t>Oran</t>
        </is>
      </c>
      <c r="D3" s="30" t="n">
        <v>30</v>
      </c>
      <c r="E3" s="57" t="n">
        <v>1200000</v>
      </c>
      <c r="F3" s="57">
        <f>SUMIFS(Factures!$H:$H,Factures!$C:$C,A3)</f>
        <v/>
      </c>
      <c r="G3" s="57">
        <f>SUMIFS(Factures!$I:$I,Factures!$C:$C,A3)</f>
        <v/>
      </c>
      <c r="H3" s="57">
        <f>F3-G3</f>
        <v/>
      </c>
      <c r="I3" s="57">
        <f>SUMIFS(Factures!$J:$J,Factures!$C:$C,A3,Factures!$K:$K,"En retard")</f>
        <v/>
      </c>
      <c r="J3" s="35">
        <f>IF(E3=0,0,H3/E3)</f>
        <v/>
      </c>
      <c r="K3" s="30">
        <f>H3+ROW()/1000000</f>
        <v/>
      </c>
    </row>
    <row r="4">
      <c r="A4" s="30" t="inlineStr">
        <is>
          <t>C03</t>
        </is>
      </c>
      <c r="B4" s="30" t="inlineStr">
        <is>
          <t>Restaurant Dar Djeddi</t>
        </is>
      </c>
      <c r="C4" s="30" t="inlineStr">
        <is>
          <t>Constantine</t>
        </is>
      </c>
      <c r="D4" s="30" t="n">
        <v>15</v>
      </c>
      <c r="E4" s="57" t="n">
        <v>600000</v>
      </c>
      <c r="F4" s="57">
        <f>SUMIFS(Factures!$H:$H,Factures!$C:$C,A4)</f>
        <v/>
      </c>
      <c r="G4" s="57">
        <f>SUMIFS(Factures!$I:$I,Factures!$C:$C,A4)</f>
        <v/>
      </c>
      <c r="H4" s="57">
        <f>F4-G4</f>
        <v/>
      </c>
      <c r="I4" s="57">
        <f>SUMIFS(Factures!$J:$J,Factures!$C:$C,A4,Factures!$K:$K,"En retard")</f>
        <v/>
      </c>
      <c r="J4" s="35">
        <f>IF(E4=0,0,H4/E4)</f>
        <v/>
      </c>
      <c r="K4" s="30">
        <f>H4+ROW()/1000000</f>
        <v/>
      </c>
    </row>
    <row r="5">
      <c r="A5" s="30" t="inlineStr">
        <is>
          <t>C04</t>
        </is>
      </c>
      <c r="B5" s="30" t="inlineStr">
        <is>
          <t>Bio Market Hydra</t>
        </is>
      </c>
      <c r="C5" s="30" t="inlineStr">
        <is>
          <t>Alger</t>
        </is>
      </c>
      <c r="D5" s="30" t="n">
        <v>45</v>
      </c>
      <c r="E5" s="57" t="n">
        <v>2400000</v>
      </c>
      <c r="F5" s="57">
        <f>SUMIFS(Factures!$H:$H,Factures!$C:$C,A5)</f>
        <v/>
      </c>
      <c r="G5" s="57">
        <f>SUMIFS(Factures!$I:$I,Factures!$C:$C,A5)</f>
        <v/>
      </c>
      <c r="H5" s="57">
        <f>F5-G5</f>
        <v/>
      </c>
      <c r="I5" s="57">
        <f>SUMIFS(Factures!$J:$J,Factures!$C:$C,A5,Factures!$K:$K,"En retard")</f>
        <v/>
      </c>
      <c r="J5" s="35">
        <f>IF(E5=0,0,H5/E5)</f>
        <v/>
      </c>
      <c r="K5" s="30">
        <f>H5+ROW()/1000000</f>
        <v/>
      </c>
    </row>
    <row r="6">
      <c r="A6" s="30" t="inlineStr">
        <is>
          <t>C05</t>
        </is>
      </c>
      <c r="B6" s="30" t="inlineStr">
        <is>
          <t>Pâtisserie Les Amandiers</t>
        </is>
      </c>
      <c r="C6" s="30" t="inlineStr">
        <is>
          <t>Blida</t>
        </is>
      </c>
      <c r="D6" s="30" t="n">
        <v>30</v>
      </c>
      <c r="E6" s="57" t="n">
        <v>800000</v>
      </c>
      <c r="F6" s="57">
        <f>SUMIFS(Factures!$H:$H,Factures!$C:$C,A6)</f>
        <v/>
      </c>
      <c r="G6" s="57">
        <f>SUMIFS(Factures!$I:$I,Factures!$C:$C,A6)</f>
        <v/>
      </c>
      <c r="H6" s="57">
        <f>F6-G6</f>
        <v/>
      </c>
      <c r="I6" s="57">
        <f>SUMIFS(Factures!$J:$J,Factures!$C:$C,A6,Factures!$K:$K,"En retard")</f>
        <v/>
      </c>
      <c r="J6" s="35">
        <f>IF(E6=0,0,H6/E6)</f>
        <v/>
      </c>
      <c r="K6" s="30">
        <f>H6+ROW()/1000000</f>
        <v/>
      </c>
    </row>
    <row r="7">
      <c r="A7" s="30" t="inlineStr">
        <is>
          <t>C06</t>
        </is>
      </c>
      <c r="B7" s="30" t="inlineStr">
        <is>
          <t>Supermarché Atlas</t>
        </is>
      </c>
      <c r="C7" s="30" t="inlineStr">
        <is>
          <t>Sétif</t>
        </is>
      </c>
      <c r="D7" s="30" t="n">
        <v>60</v>
      </c>
      <c r="E7" s="57" t="n">
        <v>3600000</v>
      </c>
      <c r="F7" s="57">
        <f>SUMIFS(Factures!$H:$H,Factures!$C:$C,A7)</f>
        <v/>
      </c>
      <c r="G7" s="57">
        <f>SUMIFS(Factures!$I:$I,Factures!$C:$C,A7)</f>
        <v/>
      </c>
      <c r="H7" s="57">
        <f>F7-G7</f>
        <v/>
      </c>
      <c r="I7" s="57">
        <f>SUMIFS(Factures!$J:$J,Factures!$C:$C,A7,Factures!$K:$K,"En retard")</f>
        <v/>
      </c>
      <c r="J7" s="35">
        <f>IF(E7=0,0,H7/E7)</f>
        <v/>
      </c>
      <c r="K7" s="30">
        <f>H7+ROW()/1000000</f>
        <v/>
      </c>
    </row>
    <row r="8">
      <c r="A8" s="30" t="inlineStr">
        <is>
          <t>C07</t>
        </is>
      </c>
      <c r="B8" s="30" t="inlineStr">
        <is>
          <t>Herboristerie Ennour</t>
        </is>
      </c>
      <c r="C8" s="30" t="inlineStr">
        <is>
          <t>Tlemcen</t>
        </is>
      </c>
      <c r="D8" s="30" t="n">
        <v>30</v>
      </c>
      <c r="E8" s="57" t="n">
        <v>600000</v>
      </c>
      <c r="F8" s="57">
        <f>SUMIFS(Factures!$H:$H,Factures!$C:$C,A8)</f>
        <v/>
      </c>
      <c r="G8" s="57">
        <f>SUMIFS(Factures!$I:$I,Factures!$C:$C,A8)</f>
        <v/>
      </c>
      <c r="H8" s="57">
        <f>F8-G8</f>
        <v/>
      </c>
      <c r="I8" s="57">
        <f>SUMIFS(Factures!$J:$J,Factures!$C:$C,A8,Factures!$K:$K,"En retard")</f>
        <v/>
      </c>
      <c r="J8" s="35">
        <f>IF(E8=0,0,H8/E8)</f>
        <v/>
      </c>
      <c r="K8" s="30">
        <f>H8+ROW()/1000000</f>
        <v/>
      </c>
    </row>
    <row r="9">
      <c r="A9" s="30" t="inlineStr">
        <is>
          <t>C08</t>
        </is>
      </c>
      <c r="B9" s="30" t="inlineStr">
        <is>
          <t>Traiteur El Djazaïr</t>
        </is>
      </c>
      <c r="C9" s="30" t="inlineStr">
        <is>
          <t>Annaba</t>
        </is>
      </c>
      <c r="D9" s="30" t="n">
        <v>15</v>
      </c>
      <c r="E9" s="57" t="n">
        <v>720000</v>
      </c>
      <c r="F9" s="57">
        <f>SUMIFS(Factures!$H:$H,Factures!$C:$C,A9)</f>
        <v/>
      </c>
      <c r="G9" s="57">
        <f>SUMIFS(Factures!$I:$I,Factures!$C:$C,A9)</f>
        <v/>
      </c>
      <c r="H9" s="57">
        <f>F9-G9</f>
        <v/>
      </c>
      <c r="I9" s="57">
        <f>SUMIFS(Factures!$J:$J,Factures!$C:$C,A9,Factures!$K:$K,"En retard")</f>
        <v/>
      </c>
      <c r="J9" s="35">
        <f>IF(E9=0,0,H9/E9)</f>
        <v/>
      </c>
      <c r="K9" s="30">
        <f>H9+ROW()/1000000</f>
        <v/>
      </c>
    </row>
    <row r="10">
      <c r="A10" s="30" t="inlineStr">
        <is>
          <t>C09</t>
        </is>
      </c>
      <c r="B10" s="30" t="inlineStr">
        <is>
          <t>Cosmétiques Naturels Lina</t>
        </is>
      </c>
      <c r="C10" s="30" t="inlineStr">
        <is>
          <t>Béjaïa</t>
        </is>
      </c>
      <c r="D10" s="30" t="n">
        <v>30</v>
      </c>
      <c r="E10" s="57" t="n">
        <v>1000000</v>
      </c>
      <c r="F10" s="57">
        <f>SUMIFS(Factures!$H:$H,Factures!$C:$C,A10)</f>
        <v/>
      </c>
      <c r="G10" s="57">
        <f>SUMIFS(Factures!$I:$I,Factures!$C:$C,A10)</f>
        <v/>
      </c>
      <c r="H10" s="57">
        <f>F10-G10</f>
        <v/>
      </c>
      <c r="I10" s="57">
        <f>SUMIFS(Factures!$J:$J,Factures!$C:$C,A10,Factures!$K:$K,"En retard")</f>
        <v/>
      </c>
      <c r="J10" s="35">
        <f>IF(E10=0,0,H10/E10)</f>
        <v/>
      </c>
      <c r="K10" s="30">
        <f>H10+ROW()/1000000</f>
        <v/>
      </c>
    </row>
    <row r="11">
      <c r="A11" s="30" t="inlineStr">
        <is>
          <t>C10</t>
        </is>
      </c>
      <c r="B11" s="30" t="inlineStr">
        <is>
          <t>Coopérative Agricole Mitidja</t>
        </is>
      </c>
      <c r="C11" s="30" t="inlineStr">
        <is>
          <t>Blida</t>
        </is>
      </c>
      <c r="D11" s="30" t="n">
        <v>60</v>
      </c>
      <c r="E11" s="57" t="n">
        <v>2800000</v>
      </c>
      <c r="F11" s="57">
        <f>SUMIFS(Factures!$H:$H,Factures!$C:$C,A11)</f>
        <v/>
      </c>
      <c r="G11" s="57">
        <f>SUMIFS(Factures!$I:$I,Factures!$C:$C,A11)</f>
        <v/>
      </c>
      <c r="H11" s="57">
        <f>F11-G11</f>
        <v/>
      </c>
      <c r="I11" s="57">
        <f>SUMIFS(Factures!$J:$J,Factures!$C:$C,A11,Factures!$K:$K,"En retard")</f>
        <v/>
      </c>
      <c r="J11" s="35">
        <f>IF(E11=0,0,H11/E11)</f>
        <v/>
      </c>
      <c r="K11" s="30">
        <f>H11+ROW()/1000000</f>
        <v/>
      </c>
    </row>
    <row r="12">
      <c r="A12" s="30" t="inlineStr">
        <is>
          <t>C11</t>
        </is>
      </c>
      <c r="B12" s="30" t="inlineStr">
        <is>
          <t>Hôtel-Restaurant Les Oliviers</t>
        </is>
      </c>
      <c r="C12" s="30" t="inlineStr">
        <is>
          <t>Tizi Ouzou</t>
        </is>
      </c>
      <c r="D12" s="30" t="n">
        <v>30</v>
      </c>
      <c r="E12" s="57" t="n">
        <v>1400000</v>
      </c>
      <c r="F12" s="57">
        <f>SUMIFS(Factures!$H:$H,Factures!$C:$C,A12)</f>
        <v/>
      </c>
      <c r="G12" s="57">
        <f>SUMIFS(Factures!$I:$I,Factures!$C:$C,A12)</f>
        <v/>
      </c>
      <c r="H12" s="57">
        <f>F12-G12</f>
        <v/>
      </c>
      <c r="I12" s="57">
        <f>SUMIFS(Factures!$J:$J,Factures!$C:$C,A12,Factures!$K:$K,"En retard")</f>
        <v/>
      </c>
      <c r="J12" s="35">
        <f>IF(E12=0,0,H12/E12)</f>
        <v/>
      </c>
      <c r="K12" s="30">
        <f>H12+ROW()/1000000</f>
        <v/>
      </c>
    </row>
    <row r="13">
      <c r="A13" s="30" t="inlineStr">
        <is>
          <t>C12</t>
        </is>
      </c>
      <c r="B13" s="30" t="inlineStr">
        <is>
          <t>Magasin Bio Tafsut</t>
        </is>
      </c>
      <c r="C13" s="30" t="inlineStr">
        <is>
          <t>Bouira</t>
        </is>
      </c>
      <c r="D13" s="30" t="n">
        <v>30</v>
      </c>
      <c r="E13" s="57" t="n">
        <v>800000</v>
      </c>
      <c r="F13" s="57">
        <f>SUMIFS(Factures!$H:$H,Factures!$C:$C,A13)</f>
        <v/>
      </c>
      <c r="G13" s="57">
        <f>SUMIFS(Factures!$I:$I,Factures!$C:$C,A13)</f>
        <v/>
      </c>
      <c r="H13" s="57">
        <f>F13-G13</f>
        <v/>
      </c>
      <c r="I13" s="57">
        <f>SUMIFS(Factures!$J:$J,Factures!$C:$C,A13,Factures!$K:$K,"En retard")</f>
        <v/>
      </c>
      <c r="J13" s="35">
        <f>IF(E13=0,0,H13/E13)</f>
        <v/>
      </c>
      <c r="K13" s="30">
        <f>H13+ROW()/1000000</f>
        <v/>
      </c>
    </row>
  </sheetData>
  <conditionalFormatting sqref="J2:J13">
    <cfRule type="dataBar" priority="1">
      <dataBar>
        <cfvo type="num" val="0"/>
        <cfvo type="num" val="1"/>
        <color rgb="00C9A646"/>
      </dataBar>
    </cfRule>
    <cfRule type="cellIs" priority="2" operator="greaterThan" dxfId="0">
      <formula>1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D0CCBE"/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9" customWidth="1" min="1" max="1"/>
    <col width="36" customWidth="1" min="2" max="2"/>
    <col width="11" customWidth="1" min="3" max="3"/>
    <col width="13" customWidth="1" min="4" max="4"/>
    <col width="8" customWidth="1" min="5" max="5"/>
    <col width="12" customWidth="1" min="6" max="6"/>
    <col width="16" customWidth="1" min="7" max="7"/>
  </cols>
  <sheetData>
    <row r="1" ht="30" customHeight="1">
      <c r="A1" s="29" t="inlineStr">
        <is>
          <t>Réf</t>
        </is>
      </c>
      <c r="B1" s="29" t="inlineStr">
        <is>
          <t>Désignation</t>
        </is>
      </c>
      <c r="C1" s="29" t="inlineStr">
        <is>
          <t>Unité</t>
        </is>
      </c>
      <c r="D1" s="29" t="inlineStr">
        <is>
          <t>Prix HT</t>
        </is>
      </c>
      <c r="E1" s="29" t="inlineStr">
        <is>
          <t>TVA</t>
        </is>
      </c>
      <c r="F1" s="29" t="inlineStr">
        <is>
          <t>Qté vendue</t>
        </is>
      </c>
      <c r="G1" s="29" t="inlineStr">
        <is>
          <t>CA HT</t>
        </is>
      </c>
    </row>
    <row r="2">
      <c r="A2" s="30" t="inlineStr">
        <is>
          <t>HO-05</t>
        </is>
      </c>
      <c r="B2" s="30" t="inlineStr">
        <is>
          <t>Huile d'olive extra vierge 0,5 L</t>
        </is>
      </c>
      <c r="C2" s="30" t="inlineStr">
        <is>
          <t>bouteille</t>
        </is>
      </c>
      <c r="D2" s="32" t="n">
        <v>820</v>
      </c>
      <c r="E2" s="35" t="n">
        <v>0.09</v>
      </c>
      <c r="F2" s="30">
        <f>SUMIFS(Lignes!$D:$D,Lignes!$B:$B,A2)</f>
        <v/>
      </c>
      <c r="G2" s="57">
        <f>SUMIFS(Lignes!$H:$H,Lignes!$B:$B,A2)</f>
        <v/>
      </c>
    </row>
    <row r="3">
      <c r="A3" s="30" t="inlineStr">
        <is>
          <t>HO-1</t>
        </is>
      </c>
      <c r="B3" s="30" t="inlineStr">
        <is>
          <t>Huile d'olive extra vierge 1 L</t>
        </is>
      </c>
      <c r="C3" s="30" t="inlineStr">
        <is>
          <t>bouteille</t>
        </is>
      </c>
      <c r="D3" s="32" t="n">
        <v>1490</v>
      </c>
      <c r="E3" s="35" t="n">
        <v>0.09</v>
      </c>
      <c r="F3" s="30">
        <f>SUMIFS(Lignes!$D:$D,Lignes!$B:$B,A3)</f>
        <v/>
      </c>
      <c r="G3" s="57">
        <f>SUMIFS(Lignes!$H:$H,Lignes!$B:$B,A3)</f>
        <v/>
      </c>
    </row>
    <row r="4">
      <c r="A4" s="30" t="inlineStr">
        <is>
          <t>HO-5</t>
        </is>
      </c>
      <c r="B4" s="30" t="inlineStr">
        <is>
          <t>Huile d'olive extra vierge 5 L</t>
        </is>
      </c>
      <c r="C4" s="30" t="inlineStr">
        <is>
          <t>bidon</t>
        </is>
      </c>
      <c r="D4" s="32" t="n">
        <v>6900</v>
      </c>
      <c r="E4" s="35" t="n">
        <v>0.09</v>
      </c>
      <c r="F4" s="30">
        <f>SUMIFS(Lignes!$D:$D,Lignes!$B:$B,A4)</f>
        <v/>
      </c>
      <c r="G4" s="57">
        <f>SUMIFS(Lignes!$H:$H,Lignes!$B:$B,A4)</f>
        <v/>
      </c>
    </row>
    <row r="5">
      <c r="A5" s="30" t="inlineStr">
        <is>
          <t>HO-T3</t>
        </is>
      </c>
      <c r="B5" s="30" t="inlineStr">
        <is>
          <t>Huile d'olive bidon 3 L (fer)</t>
        </is>
      </c>
      <c r="C5" s="30" t="inlineStr">
        <is>
          <t>bidon</t>
        </is>
      </c>
      <c r="D5" s="32" t="n">
        <v>4300</v>
      </c>
      <c r="E5" s="35" t="n">
        <v>0.09</v>
      </c>
      <c r="F5" s="30">
        <f>SUMIFS(Lignes!$D:$D,Lignes!$B:$B,A5)</f>
        <v/>
      </c>
      <c r="G5" s="57">
        <f>SUMIFS(Lignes!$H:$H,Lignes!$B:$B,A5)</f>
        <v/>
      </c>
    </row>
    <row r="6">
      <c r="A6" s="30" t="inlineStr">
        <is>
          <t>OL-V</t>
        </is>
      </c>
      <c r="B6" s="30" t="inlineStr">
        <is>
          <t>Olives vertes cassées 1 kg</t>
        </is>
      </c>
      <c r="C6" s="30" t="inlineStr">
        <is>
          <t>bocal</t>
        </is>
      </c>
      <c r="D6" s="32" t="n">
        <v>690</v>
      </c>
      <c r="E6" s="35" t="n">
        <v>0.09</v>
      </c>
      <c r="F6" s="30">
        <f>SUMIFS(Lignes!$D:$D,Lignes!$B:$B,A6)</f>
        <v/>
      </c>
      <c r="G6" s="57">
        <f>SUMIFS(Lignes!$H:$H,Lignes!$B:$B,A6)</f>
        <v/>
      </c>
    </row>
    <row r="7">
      <c r="A7" s="30" t="inlineStr">
        <is>
          <t>OL-N</t>
        </is>
      </c>
      <c r="B7" s="30" t="inlineStr">
        <is>
          <t>Olives noires de Kabylie 1 kg</t>
        </is>
      </c>
      <c r="C7" s="30" t="inlineStr">
        <is>
          <t>bocal</t>
        </is>
      </c>
      <c r="D7" s="32" t="n">
        <v>760</v>
      </c>
      <c r="E7" s="35" t="n">
        <v>0.09</v>
      </c>
      <c r="F7" s="30">
        <f>SUMIFS(Lignes!$D:$D,Lignes!$B:$B,A7)</f>
        <v/>
      </c>
      <c r="G7" s="57">
        <f>SUMIFS(Lignes!$H:$H,Lignes!$B:$B,A7)</f>
        <v/>
      </c>
    </row>
    <row r="8">
      <c r="A8" s="30" t="inlineStr">
        <is>
          <t>TP-O</t>
        </is>
      </c>
      <c r="B8" s="30" t="inlineStr">
        <is>
          <t>Tapenade d'olives 200 g</t>
        </is>
      </c>
      <c r="C8" s="30" t="inlineStr">
        <is>
          <t>pot</t>
        </is>
      </c>
      <c r="D8" s="32" t="n">
        <v>430</v>
      </c>
      <c r="E8" s="35" t="n">
        <v>0.09</v>
      </c>
      <c r="F8" s="30">
        <f>SUMIFS(Lignes!$D:$D,Lignes!$B:$B,A8)</f>
        <v/>
      </c>
      <c r="G8" s="57">
        <f>SUMIFS(Lignes!$H:$H,Lignes!$B:$B,A8)</f>
        <v/>
      </c>
    </row>
    <row r="9">
      <c r="A9" s="30" t="inlineStr">
        <is>
          <t>SV-O</t>
        </is>
      </c>
      <c r="B9" s="30" t="inlineStr">
        <is>
          <t>Savon à l'huile d'olive (x6)</t>
        </is>
      </c>
      <c r="C9" s="30" t="inlineStr">
        <is>
          <t>lot</t>
        </is>
      </c>
      <c r="D9" s="32" t="n">
        <v>980</v>
      </c>
      <c r="E9" s="35" t="n">
        <v>0.19</v>
      </c>
      <c r="F9" s="30">
        <f>SUMIFS(Lignes!$D:$D,Lignes!$B:$B,A9)</f>
        <v/>
      </c>
      <c r="G9" s="57">
        <f>SUMIFS(Lignes!$H:$H,Lignes!$B:$B,A9)</f>
        <v/>
      </c>
    </row>
    <row r="10">
      <c r="A10" s="30" t="inlineStr">
        <is>
          <t>CF-D</t>
        </is>
      </c>
      <c r="B10" s="30" t="inlineStr">
        <is>
          <t>Coffret découverte</t>
        </is>
      </c>
      <c r="C10" s="30" t="inlineStr">
        <is>
          <t>coffret</t>
        </is>
      </c>
      <c r="D10" s="32" t="n">
        <v>3900</v>
      </c>
      <c r="E10" s="35" t="n">
        <v>0.19</v>
      </c>
      <c r="F10" s="30">
        <f>SUMIFS(Lignes!$D:$D,Lignes!$B:$B,A10)</f>
        <v/>
      </c>
      <c r="G10" s="57">
        <f>SUMIFS(Lignes!$H:$H,Lignes!$B:$B,A10)</f>
        <v/>
      </c>
    </row>
    <row r="11">
      <c r="A11" s="30" t="inlineStr">
        <is>
          <t>CF-P</t>
        </is>
      </c>
      <c r="B11" s="30" t="inlineStr">
        <is>
          <t>Coffret prestige</t>
        </is>
      </c>
      <c r="C11" s="30" t="inlineStr">
        <is>
          <t>coffret</t>
        </is>
      </c>
      <c r="D11" s="32" t="n">
        <v>7200</v>
      </c>
      <c r="E11" s="35" t="n">
        <v>0.19</v>
      </c>
      <c r="F11" s="30">
        <f>SUMIFS(Lignes!$D:$D,Lignes!$B:$B,A11)</f>
        <v/>
      </c>
      <c r="G11" s="57">
        <f>SUMIFS(Lignes!$H:$H,Lignes!$B:$B,A11)</f>
        <v/>
      </c>
    </row>
  </sheetData>
  <conditionalFormatting sqref="G2:G11">
    <cfRule type="dataBar" priority="1">
      <dataBar>
        <cfvo type="num" val="0"/>
        <cfvo type="max"/>
        <color rgb="005B6B2F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D0CCBE"/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52" customWidth="1" min="2" max="2"/>
    <col width="40" customWidth="1" min="3" max="3"/>
  </cols>
  <sheetData>
    <row r="1" ht="40" customHeight="1">
      <c r="A1" s="58" t="inlineStr">
        <is>
          <t>Paramètres</t>
        </is>
      </c>
      <c r="B1" s="59" t="n"/>
      <c r="C1" s="59" t="n"/>
    </row>
    <row r="2">
      <c r="A2" s="60" t="inlineStr">
        <is>
          <t>Modifiez ces valeurs ; tout le classeur se met à jour.</t>
        </is>
      </c>
      <c r="B2" s="30" t="n"/>
      <c r="C2" s="30" t="n"/>
    </row>
    <row r="3">
      <c r="A3" s="30" t="n"/>
      <c r="B3" s="30" t="n"/>
      <c r="C3" s="30" t="n"/>
    </row>
    <row r="4">
      <c r="A4" s="61" t="inlineStr">
        <is>
          <t>Raison sociale</t>
        </is>
      </c>
      <c r="B4" s="62" t="inlineStr">
        <is>
          <t>Zitouna — Huilerie artisanale (démo)</t>
        </is>
      </c>
      <c r="C4" s="30" t="n"/>
    </row>
    <row r="5">
      <c r="A5" s="61" t="inlineStr">
        <is>
          <t>Adresse</t>
        </is>
      </c>
      <c r="B5" s="62" t="inlineStr">
        <is>
          <t>Zone d'activité, Tizi Ouzou, Algérie</t>
        </is>
      </c>
      <c r="C5" s="30" t="n"/>
    </row>
    <row r="6">
      <c r="A6" s="61" t="inlineStr">
        <is>
          <t>Téléphone</t>
        </is>
      </c>
      <c r="B6" s="62" t="inlineStr">
        <is>
          <t>+213 (0) 26 00 00 00</t>
        </is>
      </c>
      <c r="C6" s="30" t="n"/>
    </row>
    <row r="7">
      <c r="A7" s="61" t="inlineStr">
        <is>
          <t>Date d'analyse</t>
        </is>
      </c>
      <c r="B7" s="63" t="n">
        <v>46324</v>
      </c>
      <c r="C7" s="64" t="inlineStr">
        <is>
          <t>← remplacez par =AUJOURDHUI() en usage réel</t>
        </is>
      </c>
    </row>
    <row r="8">
      <c r="A8" s="61" t="inlineStr">
        <is>
          <t>Exercice</t>
        </is>
      </c>
      <c r="B8" s="62" t="n">
        <v>2026</v>
      </c>
      <c r="C8" s="30" t="n"/>
    </row>
    <row r="9">
      <c r="A9" s="61" t="inlineStr">
        <is>
          <t>Mentions</t>
        </is>
      </c>
      <c r="B9" s="62" t="inlineStr">
        <is>
          <t>Données fictives à titre de démonstration. Taux de TVA indicatifs : à valider avec votre comptable.</t>
        </is>
      </c>
      <c r="C9" s="30" t="n"/>
    </row>
    <row r="10">
      <c r="A10" s="30" t="n"/>
      <c r="B10" s="30" t="n"/>
      <c r="C10" s="30" t="n"/>
    </row>
    <row r="11">
      <c r="A11" s="61" t="inlineStr">
        <is>
          <t>Taux TVA</t>
        </is>
      </c>
      <c r="B11" s="61" t="inlineStr">
        <is>
          <t>Modes de paiement</t>
        </is>
      </c>
      <c r="C11" s="30" t="n"/>
    </row>
    <row r="12">
      <c r="A12" s="35" t="n">
        <v>0</v>
      </c>
      <c r="B12" s="30" t="inlineStr">
        <is>
          <t>Virement</t>
        </is>
      </c>
      <c r="C12" s="30" t="n"/>
    </row>
    <row r="13">
      <c r="A13" s="35" t="n">
        <v>0.09</v>
      </c>
      <c r="B13" s="30" t="inlineStr">
        <is>
          <t>Chèque</t>
        </is>
      </c>
      <c r="C13" s="30" t="n"/>
    </row>
    <row r="14">
      <c r="A14" s="35" t="n">
        <v>0.19</v>
      </c>
      <c r="B14" s="30" t="inlineStr">
        <is>
          <t>Espèces</t>
        </is>
      </c>
      <c r="C14" s="30" t="n"/>
    </row>
    <row r="15">
      <c r="A15" s="30" t="n"/>
      <c r="B15" s="30" t="inlineStr">
        <is>
          <t>CCP / BaridiMob</t>
        </is>
      </c>
      <c r="C15" s="30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Cadrien Studio</dc:creator>
  <dc:title xmlns:dc="http://purl.org/dc/elements/1.1/">Zitouna — Facturation &amp; créances (démo)</dc:title>
  <dcterms:created xmlns:dcterms="http://purl.org/dc/terms/" xmlns:xsi="http://www.w3.org/2001/XMLSchema-instance" xsi:type="dcterms:W3CDTF">2026-10-29T16:07:24Z</dcterms:created>
  <dcterms:modified xmlns:dcterms="http://purl.org/dc/terms/" xmlns:xsi="http://www.w3.org/2001/XMLSchema-instance" xsi:type="dcterms:W3CDTF">2026-10-29T16:07:25Z</dcterms:modified>
</cp:coreProperties>
</file>