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لوحة المشروع" sheetId="1" state="visible" r:id="rId1"/>
    <sheet xmlns:r="http://schemas.openxmlformats.org/officeDocument/2006/relationships" name="المخطط الزمني" sheetId="2" state="visible" r:id="rId2"/>
    <sheet xmlns:r="http://schemas.openxmlformats.org/officeDocument/2006/relationships" name="الميزانية" sheetId="3" state="visible" r:id="rId3"/>
    <sheet xmlns:r="http://schemas.openxmlformats.org/officeDocument/2006/relationships" name="المصاريف" sheetId="4" state="visible" r:id="rId4"/>
    <sheet xmlns:r="http://schemas.openxmlformats.org/officeDocument/2006/relationships" name="الإعدادات" sheetId="5" state="visible" r:id="rId5"/>
  </sheets>
  <definedNames>
    <definedName name="Debut">الإعدادات!$B$5</definedName>
    <definedName name="Suivi">الإعدادات!$B$6</definedName>
    <definedName name="Repos">الإعدادات!$B$7</definedName>
    <definedName name="Echeance">الإعدادات!$B$8</definedName>
    <definedName name="Aleas">الإعدادات!$B$9</definedName>
    <definedName name="Lots">الإعدادات!$A$13:$A$19</definedName>
    <definedName name="_xlnm.Print_Area" localSheetId="0">'لوحة المشروع'!$A$1:$M$40</definedName>
    <definedName name="_xlnm.Print_Area" localSheetId="1">'المخطط الزمني'!$A$1:$BO$26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dd/mm/yyyy"/>
    <numFmt numFmtId="166" formatCode="dd/mm/yy"/>
    <numFmt numFmtId="167" formatCode="#,##0;;&quot;—&quot;"/>
    <numFmt numFmtId="168" formatCode="d"/>
    <numFmt numFmtId="169" formatCode=";;;"/>
    <numFmt numFmtId="170" formatCode="#,##0 &quot;د.ج&quot;"/>
    <numFmt numFmtId="171" formatCode="#,##0;[Red]-#,##0;&quot;—&quot;"/>
    <numFmt numFmtId="172" formatCode="0.0%"/>
    <numFmt numFmtId="173" formatCode="mm/yyyy"/>
  </numFmts>
  <fonts count="24">
    <font>
      <name val="Calibri"/>
      <family val="2"/>
      <color theme="1"/>
      <sz val="11"/>
      <scheme val="minor"/>
    </font>
    <font>
      <name val="IBM Plex Sans Arabic"/>
      <b val="1"/>
      <color rgb="0014213D"/>
      <sz val="16"/>
    </font>
    <font>
      <name val="IBM Plex Sans Arabic"/>
      <b val="1"/>
      <color rgb="001F2937"/>
      <sz val="10"/>
    </font>
    <font>
      <name val="IBM Plex Sans Arabic"/>
      <color rgb="001F2937"/>
      <sz val="10"/>
    </font>
    <font>
      <name val="IBM Plex Sans Arabic"/>
      <i val="1"/>
      <color rgb="006B7280"/>
      <sz val="9"/>
    </font>
    <font>
      <name val="IBM Plex Sans Arabic"/>
      <color rgb="006B7280"/>
      <sz val="9"/>
    </font>
    <font>
      <name val="IBM Plex Sans Arabic"/>
      <b val="1"/>
      <color rgb="00FFFFFF"/>
      <sz val="9"/>
    </font>
    <font>
      <name val="IBM Plex Sans Arabic"/>
      <color rgb="001F2937"/>
      <sz val="9.5"/>
    </font>
    <font>
      <name val="IBM Plex Sans Arabic"/>
      <color rgb="00FFFFFF"/>
      <sz val="7"/>
    </font>
    <font>
      <name val="IBM Plex Sans Arabic"/>
      <b val="1"/>
      <color rgb="0014213D"/>
      <sz val="8"/>
    </font>
    <font>
      <name val="IBM Plex Sans Arabic"/>
      <b val="1"/>
      <color rgb="001F2937"/>
      <sz val="9"/>
    </font>
    <font>
      <name val="IBM Plex Sans Arabic"/>
      <color rgb="006B7280"/>
      <sz val="8"/>
    </font>
    <font>
      <name val="IBM Plex Sans Arabic"/>
      <b val="1"/>
      <color rgb="00FFFFFF"/>
      <sz val="10"/>
    </font>
    <font>
      <name val="IBM Plex Sans Arabic"/>
      <b val="1"/>
      <color rgb="00FFFFFF"/>
      <sz val="9.5"/>
    </font>
    <font>
      <name val="IBM Plex Sans Arabic"/>
      <b val="1"/>
      <color rgb="0014213D"/>
      <sz val="22"/>
    </font>
    <font>
      <name val="IBM Plex Sans Arabic"/>
      <b val="1"/>
      <color rgb="006B7280"/>
      <sz val="9"/>
    </font>
    <font>
      <name val="IBM Plex Sans Arabic"/>
      <b val="1"/>
      <color rgb="00B07D3F"/>
      <sz val="19"/>
    </font>
    <font>
      <name val="IBM Plex Sans Arabic"/>
      <color rgb="006B7280"/>
      <sz val="8.5"/>
    </font>
    <font>
      <name val="IBM Plex Sans Arabic"/>
      <b val="1"/>
      <color rgb="0014213D"/>
      <sz val="19"/>
    </font>
    <font>
      <name val="IBM Plex Sans Arabic"/>
      <b val="1"/>
      <color rgb="00067647"/>
      <sz val="19"/>
    </font>
    <font>
      <name val="IBM Plex Sans Arabic"/>
      <b val="1"/>
      <color rgb="00B42318"/>
      <sz val="19"/>
    </font>
    <font>
      <name val="IBM Plex Sans Arabic"/>
      <b val="1"/>
      <color rgb="00B54708"/>
      <sz val="19"/>
    </font>
    <font>
      <name val="IBM Plex Sans Arabic"/>
      <b val="1"/>
      <color rgb="0014213D"/>
      <sz val="12"/>
    </font>
    <font>
      <name val="IBM Plex Sans Arabic"/>
      <color rgb="001F2937"/>
      <sz val="9"/>
    </font>
  </fonts>
  <fills count="9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4213D"/>
      </patternFill>
    </fill>
    <fill>
      <patternFill patternType="solid">
        <fgColor rgb="00B07D3F"/>
      </patternFill>
    </fill>
    <fill>
      <patternFill patternType="solid">
        <fgColor rgb="00CBD5E1"/>
      </patternFill>
    </fill>
    <fill>
      <patternFill patternType="solid">
        <fgColor rgb="00D92D20"/>
      </patternFill>
    </fill>
    <fill>
      <patternFill patternType="solid">
        <fgColor rgb="00FEE4E2"/>
      </patternFill>
    </fill>
    <fill>
      <patternFill patternType="solid">
        <fgColor rgb="00F6F1E7"/>
      </patternFill>
    </fill>
  </fills>
  <borders count="9">
    <border>
      <left/>
      <right/>
      <top/>
      <bottom/>
      <diagonal/>
    </border>
    <border>
      <bottom style="thin">
        <color rgb="00E5E1D8"/>
      </bottom>
    </border>
    <border>
      <top style="medium">
        <color rgb="0014213D"/>
      </top>
    </border>
    <border>
      <bottom style="medium">
        <color rgb="00B07D3F"/>
      </bottom>
    </border>
    <border>
      <top style="thick">
        <color rgb="00B07D3F"/>
      </top>
    </border>
    <border>
      <top style="thick">
        <color rgb="0014213D"/>
      </top>
    </border>
    <border>
      <top style="thick">
        <color rgb="00067647"/>
      </top>
    </border>
    <border>
      <top style="thick">
        <color rgb="00B42318"/>
      </top>
    </border>
    <border>
      <top style="thick">
        <color rgb="00B54708"/>
      </top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4" fillId="0" borderId="0" pivotButton="0" quotePrefix="0" xfId="0"/>
    <xf numFmtId="0" fontId="5" fillId="0" borderId="0" pivotButton="0" quotePrefix="0" xfId="0"/>
    <xf numFmtId="0" fontId="0" fillId="0" borderId="3" pivotButton="0" quotePrefix="0" xfId="0"/>
    <xf numFmtId="0" fontId="15" fillId="8" borderId="4" applyAlignment="1" pivotButton="0" quotePrefix="0" xfId="0">
      <alignment horizontal="right" vertical="center" indent="1"/>
    </xf>
    <xf numFmtId="0" fontId="0" fillId="8" borderId="4" applyAlignment="1" pivotButton="0" quotePrefix="0" xfId="0">
      <alignment horizontal="right" vertical="center" indent="1"/>
    </xf>
    <xf numFmtId="0" fontId="15" fillId="8" borderId="5" applyAlignment="1" pivotButton="0" quotePrefix="0" xfId="0">
      <alignment horizontal="right" vertical="center" indent="1"/>
    </xf>
    <xf numFmtId="0" fontId="0" fillId="8" borderId="5" applyAlignment="1" pivotButton="0" quotePrefix="0" xfId="0">
      <alignment horizontal="right" vertical="center" indent="1"/>
    </xf>
    <xf numFmtId="0" fontId="15" fillId="8" borderId="6" applyAlignment="1" pivotButton="0" quotePrefix="0" xfId="0">
      <alignment horizontal="right" vertical="center" indent="1"/>
    </xf>
    <xf numFmtId="0" fontId="0" fillId="8" borderId="6" applyAlignment="1" pivotButton="0" quotePrefix="0" xfId="0">
      <alignment horizontal="right" vertical="center" indent="1"/>
    </xf>
    <xf numFmtId="172" fontId="16" fillId="8" borderId="0" applyAlignment="1" pivotButton="0" quotePrefix="0" xfId="0">
      <alignment horizontal="right" vertical="center" indent="1"/>
    </xf>
    <xf numFmtId="0" fontId="0" fillId="8" borderId="0" applyAlignment="1" pivotButton="0" quotePrefix="0" xfId="0">
      <alignment horizontal="right" vertical="center" indent="1"/>
    </xf>
    <xf numFmtId="172" fontId="18" fillId="8" borderId="0" applyAlignment="1" pivotButton="0" quotePrefix="0" xfId="0">
      <alignment horizontal="right" vertical="center" indent="1"/>
    </xf>
    <xf numFmtId="170" fontId="18" fillId="8" borderId="0" applyAlignment="1" pivotButton="0" quotePrefix="0" xfId="0">
      <alignment horizontal="right" vertical="center" indent="1"/>
    </xf>
    <xf numFmtId="170" fontId="19" fillId="8" borderId="0" applyAlignment="1" pivotButton="0" quotePrefix="0" xfId="0">
      <alignment horizontal="right" vertical="center" indent="1"/>
    </xf>
    <xf numFmtId="0" fontId="17" fillId="8" borderId="0" applyAlignment="1" pivotButton="0" quotePrefix="0" xfId="0">
      <alignment horizontal="right" vertical="center" indent="1"/>
    </xf>
    <xf numFmtId="0" fontId="15" fillId="8" borderId="7" applyAlignment="1" pivotButton="0" quotePrefix="0" xfId="0">
      <alignment horizontal="right" vertical="center" indent="1"/>
    </xf>
    <xf numFmtId="0" fontId="0" fillId="8" borderId="7" applyAlignment="1" pivotButton="0" quotePrefix="0" xfId="0">
      <alignment horizontal="right" vertical="center" indent="1"/>
    </xf>
    <xf numFmtId="0" fontId="15" fillId="8" borderId="8" applyAlignment="1" pivotButton="0" quotePrefix="0" xfId="0">
      <alignment horizontal="right" vertical="center" indent="1"/>
    </xf>
    <xf numFmtId="0" fontId="0" fillId="8" borderId="8" applyAlignment="1" pivotButton="0" quotePrefix="0" xfId="0">
      <alignment horizontal="right" vertical="center" indent="1"/>
    </xf>
    <xf numFmtId="1" fontId="20" fillId="8" borderId="0" applyAlignment="1" pivotButton="0" quotePrefix="0" xfId="0">
      <alignment horizontal="right" vertical="center" indent="1"/>
    </xf>
    <xf numFmtId="1" fontId="21" fillId="8" borderId="0" applyAlignment="1" pivotButton="0" quotePrefix="0" xfId="0">
      <alignment horizontal="right" vertical="center" indent="1"/>
    </xf>
    <xf numFmtId="2" fontId="16" fillId="8" borderId="0" applyAlignment="1" pivotButton="0" quotePrefix="0" xfId="0">
      <alignment horizontal="right" vertical="center" indent="1"/>
    </xf>
    <xf numFmtId="1" fontId="18" fillId="8" borderId="0" applyAlignment="1" pivotButton="0" quotePrefix="0" xfId="0">
      <alignment horizontal="right" vertical="center" indent="1"/>
    </xf>
    <xf numFmtId="0" fontId="22" fillId="0" borderId="0" pivotButton="0" quotePrefix="0" xfId="0"/>
    <xf numFmtId="0" fontId="6" fillId="3" borderId="0" pivotButton="0" quotePrefix="0" xfId="0"/>
    <xf numFmtId="0" fontId="0" fillId="3" borderId="0" pivotButton="0" quotePrefix="0" xfId="0"/>
    <xf numFmtId="173" fontId="23" fillId="0" borderId="1" pivotButton="0" quotePrefix="0" xfId="0"/>
    <xf numFmtId="3" fontId="23" fillId="0" borderId="1" pivotButton="0" quotePrefix="0" xfId="0"/>
    <xf numFmtId="0" fontId="23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0" fontId="1" fillId="0" borderId="0" pivotButton="0" quotePrefix="0" xfId="0"/>
    <xf numFmtId="0" fontId="9" fillId="0" borderId="0" pivotButton="0" quotePrefix="0" xfId="0"/>
    <xf numFmtId="0" fontId="6" fillId="3" borderId="0" applyAlignment="1" pivotButton="0" quotePrefix="0" xfId="0">
      <alignment horizontal="center" vertical="center" wrapText="1"/>
    </xf>
    <xf numFmtId="168" fontId="8" fillId="3" borderId="0" applyAlignment="1" pivotButton="0" quotePrefix="0" xfId="0">
      <alignment horizontal="center" vertical="bottom" textRotation="90"/>
    </xf>
    <xf numFmtId="0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  <xf numFmtId="9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169" fontId="0" fillId="0" borderId="1" pivotButton="0" quotePrefix="0" xfId="0"/>
    <xf numFmtId="0" fontId="10" fillId="0" borderId="0" pivotButton="0" quotePrefix="0" xfId="0"/>
    <xf numFmtId="0" fontId="0" fillId="4" borderId="0" pivotButton="0" quotePrefix="0" xfId="0"/>
    <xf numFmtId="0" fontId="11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13" fillId="3" borderId="0" applyAlignment="1" pivotButton="0" quotePrefix="0" xfId="0">
      <alignment horizontal="center" vertical="center" wrapText="1"/>
    </xf>
    <xf numFmtId="171" fontId="3" fillId="0" borderId="1" pivotButton="0" quotePrefix="0" xfId="0"/>
    <xf numFmtId="9" fontId="3" fillId="0" borderId="1" pivotButton="0" quotePrefix="0" xfId="0"/>
    <xf numFmtId="0" fontId="2" fillId="8" borderId="2" pivotButton="0" quotePrefix="0" xfId="0"/>
    <xf numFmtId="171" fontId="2" fillId="8" borderId="2" pivotButton="0" quotePrefix="0" xfId="0"/>
    <xf numFmtId="9" fontId="2" fillId="8" borderId="2" pivotButton="0" quotePrefix="0" xfId="0"/>
    <xf numFmtId="0" fontId="3" fillId="0" borderId="0" pivotButton="0" quotePrefix="0" xfId="0"/>
    <xf numFmtId="3" fontId="3" fillId="0" borderId="0" pivotButton="0" quotePrefix="0" xfId="0"/>
    <xf numFmtId="0" fontId="2" fillId="0" borderId="0" pivotButton="0" quotePrefix="0" xfId="0"/>
    <xf numFmtId="3" fontId="2" fillId="0" borderId="0" pivotButton="0" quotePrefix="0" xfId="0"/>
    <xf numFmtId="0" fontId="12" fillId="3" borderId="0" pivotButton="0" quotePrefix="0" xfId="0"/>
    <xf numFmtId="165" fontId="3" fillId="0" borderId="0" pivotButton="0" quotePrefix="0" xfId="0"/>
    <xf numFmtId="170" fontId="3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165" fontId="3" fillId="2" borderId="0" applyAlignment="1" pivotButton="0" quotePrefix="0" xfId="0">
      <alignment horizontal="right" vertical="center"/>
    </xf>
    <xf numFmtId="0" fontId="4" fillId="0" borderId="0" pivotButton="0" quotePrefix="0" xfId="0"/>
    <xf numFmtId="9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dxfs count="11">
    <dxf>
      <font>
        <color rgb="00FFFFFF"/>
      </font>
    </dxf>
    <dxf>
      <fill>
        <patternFill patternType="solid">
          <fgColor rgb="00D92D20"/>
        </patternFill>
      </fill>
    </dxf>
    <dxf>
      <fill>
        <patternFill patternType="solid">
          <fgColor rgb="00B07D3F"/>
        </patternFill>
      </fill>
    </dxf>
    <dxf>
      <fill>
        <patternFill patternType="solid">
          <fgColor rgb="00FDA29B"/>
        </patternFill>
      </fill>
    </dxf>
    <dxf>
      <fill>
        <patternFill patternType="solid">
          <fgColor rgb="00CBD5E1"/>
        </patternFill>
      </fill>
    </dxf>
    <dxf>
      <fill>
        <patternFill patternType="solid">
          <fgColor rgb="00FEE4E2"/>
        </patternFill>
      </fill>
    </dxf>
    <dxf>
      <font>
        <name val="IBM Plex Sans Arabic"/>
        <b val="1"/>
        <color rgb="00067647"/>
      </font>
      <fill>
        <patternFill patternType="solid">
          <fgColor rgb="00DCFAE6"/>
        </patternFill>
      </fill>
    </dxf>
    <dxf>
      <font>
        <name val="IBM Plex Sans Arabic"/>
        <b val="1"/>
        <color rgb="00B42318"/>
      </font>
      <fill>
        <patternFill patternType="solid">
          <fgColor rgb="00FEE4E2"/>
        </patternFill>
      </fill>
    </dxf>
    <dxf>
      <font>
        <name val="IBM Plex Sans Arabic"/>
        <b val="1"/>
        <color rgb="00175CD3"/>
      </font>
      <fill>
        <patternFill patternType="solid">
          <fgColor rgb="00D1E9FF"/>
        </patternFill>
      </fill>
    </dxf>
    <dxf>
      <font>
        <name val="IBM Plex Sans Arabic"/>
        <b val="1"/>
        <color rgb="00B54708"/>
      </font>
      <fill>
        <patternFill patternType="solid">
          <fgColor rgb="00FEF0C7"/>
        </patternFill>
      </fill>
    </dxf>
    <dxf>
      <font>
        <name val="IBM Plex Sans Arabic"/>
        <b val="1"/>
        <color rgb="00475467"/>
      </font>
      <fill>
        <patternFill patternType="solid">
          <fgColor rgb="00F2F4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الإنفاق الشهري والتراكمي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'لوحة المشروع'!C16</f>
            </strRef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'لوحة المشروع'!$B$17:$B$29</f>
            </numRef>
          </cat>
          <val>
            <numRef>
              <f>'لوحة المشروع'!$C$17:$C$29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'لوحة المشروع'!E16</f>
            </strRef>
          </tx>
          <spPr>
            <a:ln xmlns:a="http://schemas.openxmlformats.org/drawingml/2006/main" w="28000">
              <a:solidFill>
                <a:srgbClr val="B07D3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'لوحة المشروع'!$E$17:$E$29</f>
            </numRef>
          </val>
          <smooth val="1"/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,,&quot;M&quot;" sourceLinked="0"/>
        <majorTickMark val="none"/>
        <minorTickMark val="none"/>
        <crossAx val="10"/>
      </valAx>
      <valAx>
        <axId val="200"/>
        <scaling>
          <orientation val="minMax"/>
        </scaling>
        <axPos val="l"/>
        <numFmt formatCode="#,##0,,&quot;M&quot;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الميزانية مقابل المصروف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'الميزانية'!B3</f>
            </strRef>
          </tx>
          <spPr>
            <a:solidFill xmlns:a="http://schemas.openxmlformats.org/drawingml/2006/main">
              <a:srgbClr val="CBD5E1"/>
            </a:solidFill>
            <a:ln xmlns:a="http://schemas.openxmlformats.org/drawingml/2006/main">
              <a:noFill/>
              <a:prstDash val="solid"/>
            </a:ln>
          </spPr>
          <cat>
            <numRef>
              <f>'الميزانية'!$A$4:$A$10</f>
            </numRef>
          </cat>
          <val>
            <numRef>
              <f>'الميزانية'!$B$4:$B$10</f>
            </numRef>
          </val>
        </ser>
        <ser>
          <idx val="1"/>
          <order val="1"/>
          <tx>
            <strRef>
              <f>'الميزانية'!C3</f>
            </strRef>
          </tx>
          <spPr>
            <a:solidFill xmlns:a="http://schemas.openxmlformats.org/drawingml/2006/main">
              <a:srgbClr val="B07D3F"/>
            </a:solidFill>
            <a:ln xmlns:a="http://schemas.openxmlformats.org/drawingml/2006/main">
              <a:noFill/>
              <a:prstDash val="solid"/>
            </a:ln>
          </spPr>
          <cat>
            <numRef>
              <f>'الميزانية'!$A$4:$A$10</f>
            </numRef>
          </cat>
          <val>
            <numRef>
              <f>'الميزانية'!$C$4:$C$10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,,&quot;M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14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Depenses" displayName="tDepenses" ref="A1:F60" headerRowCount="1">
  <autoFilter ref="A1:F60"/>
  <tableColumns count="6">
    <tableColumn id="1" name="التاريخ"/>
    <tableColumn id="2" name="الحصة"/>
    <tableColumn id="3" name="المورد / المقاول"/>
    <tableColumn id="4" name="البيان"/>
    <tableColumn id="5" name="المبلغ"/>
    <tableColumn id="6" name="طريقة الدفع"/>
  </tableColumns>
  <tableStyleInfo name="TableStyleLight15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B07D3F"/>
    <outlinePr summaryBelow="1" summaryRight="1"/>
    <pageSetUpPr fitToPage="1"/>
  </sheetPr>
  <dimension ref="B2:L37"/>
  <sheetViews>
    <sheetView showGridLines="0" rightToLeft="1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5" customWidth="1" min="3" max="3"/>
    <col width="3" customWidth="1" min="4" max="4"/>
    <col width="15" customWidth="1" min="5" max="5"/>
    <col width="15" customWidth="1" min="6" max="6"/>
    <col width="3" customWidth="1" min="7" max="7"/>
    <col width="15" customWidth="1" min="8" max="8"/>
    <col width="15" customWidth="1" min="9" max="9"/>
    <col width="3" customWidth="1" min="10" max="10"/>
    <col width="15" customWidth="1" min="11" max="11"/>
    <col width="15" customWidth="1" min="12" max="12"/>
    <col width="2" customWidth="1" min="13" max="13"/>
  </cols>
  <sheetData>
    <row r="2">
      <c r="B2" s="1" t="inlineStr">
        <is>
          <t>لوحة متابعة المشروع</t>
        </is>
      </c>
    </row>
    <row r="3">
      <c r="B3" s="2">
        <f>الإعدادات!B3&amp;"  ·  تاريخ المتابعة "&amp;TEXT(Suivi,"dd/mm/yyyy")&amp;"  ·  بيانات تجريبية"</f>
        <v/>
      </c>
    </row>
    <row r="4"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6">
      <c r="B6" s="4" t="inlineStr">
        <is>
          <t>التقدم الفعلي (مرجّح بالميزانية)</t>
        </is>
      </c>
      <c r="C6" s="5" t="n"/>
      <c r="E6" s="6" t="inlineStr">
        <is>
          <t>التقدم المخطط حتى اليوم</t>
        </is>
      </c>
      <c r="F6" s="7" t="n"/>
      <c r="H6" s="6" t="inlineStr">
        <is>
          <t>المصروف حتى اليوم</t>
        </is>
      </c>
      <c r="I6" s="7" t="n"/>
      <c r="K6" s="8" t="inlineStr">
        <is>
          <t>المتبقي من الغلاف</t>
        </is>
      </c>
      <c r="L6" s="9" t="n"/>
    </row>
    <row r="7" ht="30" customHeight="1">
      <c r="B7" s="10">
        <f>SUMPRODUCT('المخطط الزمني'!$J$5:$J$24,'المخطط الزمني'!$H$5:$H$24)/SUM('المخطط الزمني'!$J$5:$J$24)</f>
        <v/>
      </c>
      <c r="C7" s="11" t="n"/>
      <c r="E7" s="12">
        <f>SUMPRODUCT('المخطط الزمني'!$J$5:$J$24,(Suivi&gt;='المخطط الزمني'!$G$5:$G$24)+(Suivi&gt;='المخطط الزمني'!$E$5:$E$24)*(Suivi&lt;'المخطط الزمني'!$G$5:$G$24)*(Suivi-'المخطط الزمني'!$E$5:$E$24)/('المخطط الزمني'!$G$5:$G$24-'المخطط الزمني'!$E$5:$E$24+1))/SUM('المخطط الزمني'!$J$5:$J$24)</f>
        <v/>
      </c>
      <c r="F7" s="11" t="n"/>
      <c r="H7" s="13">
        <f>SUM(المصاريف!E:E)</f>
        <v/>
      </c>
      <c r="I7" s="11" t="n"/>
      <c r="K7" s="14">
        <f>الميزانية!B13-SUM(المصاريف!E:E)</f>
        <v/>
      </c>
      <c r="L7" s="11" t="n"/>
    </row>
    <row r="8">
      <c r="B8" s="15" t="inlineStr">
        <is>
          <t>الأعمال المنجزة فعليًا</t>
        </is>
      </c>
      <c r="C8" s="11" t="n"/>
      <c r="E8" s="15" t="inlineStr">
        <is>
          <t>حسب المخطط الزمني</t>
        </is>
      </c>
      <c r="F8" s="11" t="n"/>
      <c r="H8" s="15">
        <f>COUNT(المصاريف!E:E)&amp;" عملية صرف"</f>
        <v/>
      </c>
      <c r="I8" s="11" t="n"/>
      <c r="K8" s="15">
        <f>"من أصل "&amp;TEXT(الميزانية!B13,"#,##0")&amp;" د.ج"</f>
        <v/>
      </c>
      <c r="L8" s="11" t="n"/>
    </row>
    <row r="10">
      <c r="B10" s="16" t="inlineStr">
        <is>
          <t>مهام متأخرة</t>
        </is>
      </c>
      <c r="C10" s="17" t="n"/>
      <c r="E10" s="18" t="inlineStr">
        <is>
          <t>مهام تحتاج متابعة</t>
        </is>
      </c>
      <c r="F10" s="19" t="n"/>
      <c r="H10" s="4" t="inlineStr">
        <is>
          <t>مؤشر أداء التكلفة (CPI)</t>
        </is>
      </c>
      <c r="I10" s="5" t="n"/>
      <c r="K10" s="6" t="inlineStr">
        <is>
          <t>أيام متبقية حتى الأجل</t>
        </is>
      </c>
      <c r="L10" s="7" t="n"/>
    </row>
    <row r="11" ht="30" customHeight="1">
      <c r="B11" s="20">
        <f>COUNTIF('المخطط الزمني'!$I$5:$I$24,"متأخرة")</f>
        <v/>
      </c>
      <c r="C11" s="11" t="n"/>
      <c r="E11" s="21">
        <f>COUNTIF('المخطط الزمني'!$I$5:$I$24,"تحتاج متابعة")</f>
        <v/>
      </c>
      <c r="F11" s="11" t="n"/>
      <c r="H11" s="22">
        <f>IFERROR(SUM(الميزانية!D4:D10)/SUM(الميزانية!C4:C10),0)</f>
        <v/>
      </c>
      <c r="I11" s="11" t="n"/>
      <c r="K11" s="23">
        <f>Echeance-Suivi</f>
        <v/>
      </c>
      <c r="L11" s="11" t="n"/>
    </row>
    <row r="12">
      <c r="B12" s="15">
        <f>"من أصل "&amp;COUNTA('المخطط الزمني'!$I$5:$I$24)&amp;" مهمة"</f>
        <v/>
      </c>
      <c r="C12" s="11" t="n"/>
      <c r="E12" s="15" t="inlineStr">
        <is>
          <t>تقدّم أقل من المتوقع</t>
        </is>
      </c>
      <c r="F12" s="11" t="n"/>
      <c r="H12" s="15" t="inlineStr">
        <is>
          <t>أكبر من 1 = إنفاق أقل من القيمة المنجزة</t>
        </is>
      </c>
      <c r="I12" s="11" t="n"/>
      <c r="K12" s="15">
        <f>"الأجل: "&amp;TEXT(Echeance,"dd/mm/yyyy")</f>
        <v/>
      </c>
      <c r="L12" s="11" t="n"/>
    </row>
    <row r="15">
      <c r="B15" s="24" t="inlineStr">
        <is>
          <t>الإنفاق الشهري والتراكمي</t>
        </is>
      </c>
    </row>
    <row r="16">
      <c r="B16" s="25" t="inlineStr">
        <is>
          <t>الشهر</t>
        </is>
      </c>
      <c r="C16" s="25" t="inlineStr">
        <is>
          <t>المصروف</t>
        </is>
      </c>
      <c r="D16" s="26" t="n"/>
      <c r="E16" s="25" t="inlineStr">
        <is>
          <t>التراكمي</t>
        </is>
      </c>
    </row>
    <row r="17">
      <c r="B17" s="27" t="n">
        <v>46082</v>
      </c>
      <c r="C17" s="28">
        <f>SUMIFS(المصاريف!$E:$E,المصاريف!$A:$A,"&gt;="&amp;B17,المصاريف!$A:$A,"&lt;"&amp;EDATE(B17,1))</f>
        <v/>
      </c>
      <c r="D17" s="29" t="n"/>
      <c r="E17" s="28">
        <f>IF(B17&gt;Suivi,NA(),SUM($C$17:C17))</f>
        <v/>
      </c>
    </row>
    <row r="18">
      <c r="B18" s="27" t="n">
        <v>46113</v>
      </c>
      <c r="C18" s="28">
        <f>SUMIFS(المصاريف!$E:$E,المصاريف!$A:$A,"&gt;="&amp;B18,المصاريف!$A:$A,"&lt;"&amp;EDATE(B18,1))</f>
        <v/>
      </c>
      <c r="D18" s="29" t="n"/>
      <c r="E18" s="28">
        <f>IF(B18&gt;Suivi,NA(),SUM($C$17:C18))</f>
        <v/>
      </c>
    </row>
    <row r="19">
      <c r="B19" s="27" t="n">
        <v>46143</v>
      </c>
      <c r="C19" s="28">
        <f>SUMIFS(المصاريف!$E:$E,المصاريف!$A:$A,"&gt;="&amp;B19,المصاريف!$A:$A,"&lt;"&amp;EDATE(B19,1))</f>
        <v/>
      </c>
      <c r="D19" s="29" t="n"/>
      <c r="E19" s="28">
        <f>IF(B19&gt;Suivi,NA(),SUM($C$17:C19))</f>
        <v/>
      </c>
    </row>
    <row r="20">
      <c r="B20" s="27" t="n">
        <v>46174</v>
      </c>
      <c r="C20" s="28">
        <f>SUMIFS(المصاريف!$E:$E,المصاريف!$A:$A,"&gt;="&amp;B20,المصاريف!$A:$A,"&lt;"&amp;EDATE(B20,1))</f>
        <v/>
      </c>
      <c r="D20" s="29" t="n"/>
      <c r="E20" s="28">
        <f>IF(B20&gt;Suivi,NA(),SUM($C$17:C20))</f>
        <v/>
      </c>
    </row>
    <row r="21">
      <c r="B21" s="27" t="n">
        <v>46204</v>
      </c>
      <c r="C21" s="28">
        <f>SUMIFS(المصاريف!$E:$E,المصاريف!$A:$A,"&gt;="&amp;B21,المصاريف!$A:$A,"&lt;"&amp;EDATE(B21,1))</f>
        <v/>
      </c>
      <c r="D21" s="29" t="n"/>
      <c r="E21" s="28">
        <f>IF(B21&gt;Suivi,NA(),SUM($C$17:C21))</f>
        <v/>
      </c>
    </row>
    <row r="22">
      <c r="B22" s="27" t="n">
        <v>46235</v>
      </c>
      <c r="C22" s="28">
        <f>SUMIFS(المصاريف!$E:$E,المصاريف!$A:$A,"&gt;="&amp;B22,المصاريف!$A:$A,"&lt;"&amp;EDATE(B22,1))</f>
        <v/>
      </c>
      <c r="D22" s="29" t="n"/>
      <c r="E22" s="28">
        <f>IF(B22&gt;Suivi,NA(),SUM($C$17:C22))</f>
        <v/>
      </c>
    </row>
    <row r="23">
      <c r="B23" s="27" t="n">
        <v>46266</v>
      </c>
      <c r="C23" s="28">
        <f>SUMIFS(المصاريف!$E:$E,المصاريف!$A:$A,"&gt;="&amp;B23,المصاريف!$A:$A,"&lt;"&amp;EDATE(B23,1))</f>
        <v/>
      </c>
      <c r="D23" s="29" t="n"/>
      <c r="E23" s="28">
        <f>IF(B23&gt;Suivi,NA(),SUM($C$17:C23))</f>
        <v/>
      </c>
    </row>
    <row r="24">
      <c r="B24" s="27" t="n">
        <v>46296</v>
      </c>
      <c r="C24" s="28">
        <f>SUMIFS(المصاريف!$E:$E,المصاريف!$A:$A,"&gt;="&amp;B24,المصاريف!$A:$A,"&lt;"&amp;EDATE(B24,1))</f>
        <v/>
      </c>
      <c r="D24" s="29" t="n"/>
      <c r="E24" s="28">
        <f>IF(B24&gt;Suivi,NA(),SUM($C$17:C24))</f>
        <v/>
      </c>
    </row>
    <row r="25">
      <c r="B25" s="27" t="n">
        <v>46327</v>
      </c>
      <c r="C25" s="28">
        <f>SUMIFS(المصاريف!$E:$E,المصاريف!$A:$A,"&gt;="&amp;B25,المصاريف!$A:$A,"&lt;"&amp;EDATE(B25,1))</f>
        <v/>
      </c>
      <c r="D25" s="29" t="n"/>
      <c r="E25" s="28">
        <f>IF(B25&gt;Suivi,NA(),SUM($C$17:C25))</f>
        <v/>
      </c>
    </row>
    <row r="26">
      <c r="B26" s="27" t="n">
        <v>46357</v>
      </c>
      <c r="C26" s="28">
        <f>SUMIFS(المصاريف!$E:$E,المصاريف!$A:$A,"&gt;="&amp;B26,المصاريف!$A:$A,"&lt;"&amp;EDATE(B26,1))</f>
        <v/>
      </c>
      <c r="D26" s="29" t="n"/>
      <c r="E26" s="28">
        <f>IF(B26&gt;Suivi,NA(),SUM($C$17:C26))</f>
        <v/>
      </c>
    </row>
    <row r="27">
      <c r="B27" s="27" t="n">
        <v>46388</v>
      </c>
      <c r="C27" s="28">
        <f>SUMIFS(المصاريف!$E:$E,المصاريف!$A:$A,"&gt;="&amp;B27,المصاريف!$A:$A,"&lt;"&amp;EDATE(B27,1))</f>
        <v/>
      </c>
      <c r="D27" s="29" t="n"/>
      <c r="E27" s="28">
        <f>IF(B27&gt;Suivi,NA(),SUM($C$17:C27))</f>
        <v/>
      </c>
    </row>
    <row r="28">
      <c r="B28" s="27" t="n">
        <v>46419</v>
      </c>
      <c r="C28" s="28">
        <f>SUMIFS(المصاريف!$E:$E,المصاريف!$A:$A,"&gt;="&amp;B28,المصاريف!$A:$A,"&lt;"&amp;EDATE(B28,1))</f>
        <v/>
      </c>
      <c r="D28" s="29" t="n"/>
      <c r="E28" s="28">
        <f>IF(B28&gt;Suivi,NA(),SUM($C$17:C28))</f>
        <v/>
      </c>
    </row>
    <row r="29">
      <c r="B29" s="27" t="n">
        <v>46447</v>
      </c>
      <c r="C29" s="28">
        <f>SUMIFS(المصاريف!$E:$E,المصاريف!$A:$A,"&gt;="&amp;B29,المصاريف!$A:$A,"&lt;"&amp;EDATE(B29,1))</f>
        <v/>
      </c>
      <c r="D29" s="29" t="n"/>
      <c r="E29" s="28">
        <f>IF(B29&gt;Suivi,NA(),SUM($C$17:C29))</f>
        <v/>
      </c>
    </row>
    <row r="32">
      <c r="B32" s="24" t="inlineStr">
        <is>
          <t>حالة المهام</t>
        </is>
      </c>
      <c r="E32" s="24" t="inlineStr">
        <is>
          <t>المهام القادمة (حسب تاريخ البداية)</t>
        </is>
      </c>
    </row>
    <row r="33">
      <c r="B33" s="30" t="inlineStr">
        <is>
          <t>مكتملة</t>
        </is>
      </c>
      <c r="C33" s="30">
        <f>COUNTIF('المخطط الزمني'!$I$5:$I$24,B33)</f>
        <v/>
      </c>
      <c r="E33" s="30">
        <f t="array" ref="E33">IFERROR(INDEX('المخطط الزمني'!$B$5:$B$24,MATCH(SMALL(IF('المخطط الزمني'!$E$5:$E$24&gt;Suivi,'المخطط الزمني'!$E$5:$E$24+ROW('المخطط الزمني'!$E$5:$E$24)/1000),1),'المخطط الزمني'!$E$5:$E$24+ROW('المخطط الزمني'!$E$5:$E$24)/1000,0)),"")</f>
        <v/>
      </c>
      <c r="F33" s="30" t="n"/>
      <c r="G33" s="30" t="n"/>
      <c r="H33" s="30" t="n"/>
      <c r="I33" s="30" t="n"/>
      <c r="J33" s="31">
        <f t="array" ref="J33">IFERROR(INDEX('المخطط الزمني'!$E$5:$E$24,MATCH(SMALL(IF('المخطط الزمني'!$E$5:$E$24&gt;Suivi,'المخطط الزمني'!$E$5:$E$24+ROW('المخطط الزمني'!$E$5:$E$24)/1000),1),'المخطط الزمني'!$E$5:$E$24+ROW('المخطط الزمني'!$E$5:$E$24)/1000,0)),"")</f>
        <v/>
      </c>
      <c r="K33" s="30" t="n"/>
      <c r="L33" s="30" t="n"/>
    </row>
    <row r="34">
      <c r="B34" s="30" t="inlineStr">
        <is>
          <t>جارية</t>
        </is>
      </c>
      <c r="C34" s="30">
        <f>COUNTIF('المخطط الزمني'!$I$5:$I$24,B34)</f>
        <v/>
      </c>
      <c r="E34" s="30">
        <f t="array" ref="E34">IFERROR(INDEX('المخطط الزمني'!$B$5:$B$24,MATCH(SMALL(IF('المخطط الزمني'!$E$5:$E$24&gt;Suivi,'المخطط الزمني'!$E$5:$E$24+ROW('المخطط الزمني'!$E$5:$E$24)/1000),2),'المخطط الزمني'!$E$5:$E$24+ROW('المخطط الزمني'!$E$5:$E$24)/1000,0)),"")</f>
        <v/>
      </c>
      <c r="F34" s="30" t="n"/>
      <c r="G34" s="30" t="n"/>
      <c r="H34" s="30" t="n"/>
      <c r="I34" s="30" t="n"/>
      <c r="J34" s="31">
        <f t="array" ref="J34">IFERROR(INDEX('المخطط الزمني'!$E$5:$E$24,MATCH(SMALL(IF('المخطط الزمني'!$E$5:$E$24&gt;Suivi,'المخطط الزمني'!$E$5:$E$24+ROW('المخطط الزمني'!$E$5:$E$24)/1000),2),'المخطط الزمني'!$E$5:$E$24+ROW('المخطط الزمني'!$E$5:$E$24)/1000,0)),"")</f>
        <v/>
      </c>
      <c r="K34" s="30" t="n"/>
      <c r="L34" s="30" t="n"/>
    </row>
    <row r="35">
      <c r="B35" s="30" t="inlineStr">
        <is>
          <t>تحتاج متابعة</t>
        </is>
      </c>
      <c r="C35" s="30">
        <f>COUNTIF('المخطط الزمني'!$I$5:$I$24,B35)</f>
        <v/>
      </c>
      <c r="E35" s="30">
        <f t="array" ref="E35">IFERROR(INDEX('المخطط الزمني'!$B$5:$B$24,MATCH(SMALL(IF('المخطط الزمني'!$E$5:$E$24&gt;Suivi,'المخطط الزمني'!$E$5:$E$24+ROW('المخطط الزمني'!$E$5:$E$24)/1000),3),'المخطط الزمني'!$E$5:$E$24+ROW('المخطط الزمني'!$E$5:$E$24)/1000,0)),"")</f>
        <v/>
      </c>
      <c r="F35" s="30" t="n"/>
      <c r="G35" s="30" t="n"/>
      <c r="H35" s="30" t="n"/>
      <c r="I35" s="30" t="n"/>
      <c r="J35" s="31">
        <f t="array" ref="J35">IFERROR(INDEX('المخطط الزمني'!$E$5:$E$24,MATCH(SMALL(IF('المخطط الزمني'!$E$5:$E$24&gt;Suivi,'المخطط الزمني'!$E$5:$E$24+ROW('المخطط الزمني'!$E$5:$E$24)/1000),3),'المخطط الزمني'!$E$5:$E$24+ROW('المخطط الزمني'!$E$5:$E$24)/1000,0)),"")</f>
        <v/>
      </c>
      <c r="K35" s="30" t="n"/>
      <c r="L35" s="30" t="n"/>
    </row>
    <row r="36">
      <c r="B36" s="30" t="inlineStr">
        <is>
          <t>متأخرة</t>
        </is>
      </c>
      <c r="C36" s="30">
        <f>COUNTIF('المخطط الزمني'!$I$5:$I$24,B36)</f>
        <v/>
      </c>
      <c r="E36" s="30">
        <f t="array" ref="E36">IFERROR(INDEX('المخطط الزمني'!$B$5:$B$24,MATCH(SMALL(IF('المخطط الزمني'!$E$5:$E$24&gt;Suivi,'المخطط الزمني'!$E$5:$E$24+ROW('المخطط الزمني'!$E$5:$E$24)/1000),4),'المخطط الزمني'!$E$5:$E$24+ROW('المخطط الزمني'!$E$5:$E$24)/1000,0)),"")</f>
        <v/>
      </c>
      <c r="F36" s="30" t="n"/>
      <c r="G36" s="30" t="n"/>
      <c r="H36" s="30" t="n"/>
      <c r="I36" s="30" t="n"/>
      <c r="J36" s="31">
        <f t="array" ref="J36">IFERROR(INDEX('المخطط الزمني'!$E$5:$E$24,MATCH(SMALL(IF('المخطط الزمني'!$E$5:$E$24&gt;Suivi,'المخطط الزمني'!$E$5:$E$24+ROW('المخطط الزمني'!$E$5:$E$24)/1000),4),'المخطط الزمني'!$E$5:$E$24+ROW('المخطط الزمني'!$E$5:$E$24)/1000,0)),"")</f>
        <v/>
      </c>
      <c r="K36" s="30" t="n"/>
      <c r="L36" s="30" t="n"/>
    </row>
    <row r="37">
      <c r="B37" s="30" t="inlineStr">
        <is>
          <t>لم تبدأ</t>
        </is>
      </c>
      <c r="C37" s="30">
        <f>COUNTIF('المخطط الزمني'!$I$5:$I$24,B37)</f>
        <v/>
      </c>
      <c r="E37" s="30">
        <f t="array" ref="E37">IFERROR(INDEX('المخطط الزمني'!$B$5:$B$24,MATCH(SMALL(IF('المخطط الزمني'!$E$5:$E$24&gt;Suivi,'المخطط الزمني'!$E$5:$E$24+ROW('المخطط الزمني'!$E$5:$E$24)/1000),5),'المخطط الزمني'!$E$5:$E$24+ROW('المخطط الزمني'!$E$5:$E$24)/1000,0)),"")</f>
        <v/>
      </c>
      <c r="F37" s="30" t="n"/>
      <c r="G37" s="30" t="n"/>
      <c r="H37" s="30" t="n"/>
      <c r="I37" s="30" t="n"/>
      <c r="J37" s="31">
        <f t="array" ref="J37">IFERROR(INDEX('المخطط الزمني'!$E$5:$E$24,MATCH(SMALL(IF('المخطط الزمني'!$E$5:$E$24&gt;Suivi,'المخطط الزمني'!$E$5:$E$24+ROW('المخطط الزمني'!$E$5:$E$24)/1000),5),'المخطط الزمني'!$E$5:$E$24+ROW('المخطط الزمني'!$E$5:$E$24)/1000,0)),"")</f>
        <v/>
      </c>
      <c r="K37" s="30" t="n"/>
      <c r="L37" s="30" t="n"/>
    </row>
  </sheetData>
  <mergeCells count="36">
    <mergeCell ref="E12:F12"/>
    <mergeCell ref="B7:C7"/>
    <mergeCell ref="H10:I10"/>
    <mergeCell ref="J36:L36"/>
    <mergeCell ref="B3:L3"/>
    <mergeCell ref="J34:L34"/>
    <mergeCell ref="E33:I33"/>
    <mergeCell ref="J35:L35"/>
    <mergeCell ref="E8:F8"/>
    <mergeCell ref="B12:C12"/>
    <mergeCell ref="K11:L11"/>
    <mergeCell ref="E35:I35"/>
    <mergeCell ref="H6:I6"/>
    <mergeCell ref="B11:C11"/>
    <mergeCell ref="E10:F10"/>
    <mergeCell ref="B2:L2"/>
    <mergeCell ref="B8:C8"/>
    <mergeCell ref="H11:I11"/>
    <mergeCell ref="E6:F6"/>
    <mergeCell ref="J33:L33"/>
    <mergeCell ref="K12:L12"/>
    <mergeCell ref="E34:I34"/>
    <mergeCell ref="K8:L8"/>
    <mergeCell ref="H7:I7"/>
    <mergeCell ref="B10:C10"/>
    <mergeCell ref="E11:F11"/>
    <mergeCell ref="E36:I36"/>
    <mergeCell ref="B6:C6"/>
    <mergeCell ref="K7:L7"/>
    <mergeCell ref="H12:I12"/>
    <mergeCell ref="E7:F7"/>
    <mergeCell ref="J37:L37"/>
    <mergeCell ref="K10:L10"/>
    <mergeCell ref="E37:I37"/>
    <mergeCell ref="H8:I8"/>
    <mergeCell ref="K6:L6"/>
  </mergeCells>
  <conditionalFormatting sqref="E17:E29">
    <cfRule type="expression" priority="1" dxfId="0">
      <formula>ISNA(E17)</formula>
    </cfRule>
  </conditionalFormatting>
  <conditionalFormatting sqref="C33:C37">
    <cfRule type="dataBar" priority="2">
      <dataBar>
        <cfvo type="num" val="0"/>
        <cfvo type="max"/>
        <color rgb="00B07D3F"/>
      </dataBar>
    </cfRule>
  </conditionalFormatting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213D"/>
    <outlinePr summaryBelow="1" summaryRight="1"/>
    <pageSetUpPr fitToPage="1"/>
  </sheetPr>
  <dimension ref="A1:BO26"/>
  <sheetViews>
    <sheetView showGridLines="0" rightToLeft="1" workbookViewId="0">
      <pane xSplit="10" ySplit="4" topLeftCell="K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0" customWidth="1" min="2" max="2"/>
    <col width="15" customWidth="1" min="3" max="3"/>
    <col width="18" customWidth="1" min="4" max="4"/>
    <col width="10" customWidth="1" min="5" max="5"/>
    <col width="9" customWidth="1" min="6" max="6"/>
    <col width="10" customWidth="1" min="7" max="7"/>
    <col width="10" customWidth="1" min="8" max="8"/>
    <col width="13" customWidth="1" min="9" max="9"/>
    <col width="12" customWidth="1" min="10" max="10"/>
    <col width="1.5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  <col width="2.6" customWidth="1" min="41" max="41"/>
    <col width="2.6" customWidth="1" min="42" max="42"/>
    <col width="2.6" customWidth="1" min="43" max="43"/>
    <col width="2.6" customWidth="1" min="44" max="44"/>
    <col width="2.6" customWidth="1" min="45" max="45"/>
    <col width="2.6" customWidth="1" min="46" max="46"/>
    <col width="2.6" customWidth="1" min="47" max="47"/>
    <col width="2.6" customWidth="1" min="48" max="48"/>
    <col width="2.6" customWidth="1" min="49" max="49"/>
    <col width="2.6" customWidth="1" min="50" max="50"/>
    <col width="2.6" customWidth="1" min="51" max="51"/>
    <col width="2.6" customWidth="1" min="52" max="52"/>
    <col width="2.6" customWidth="1" min="53" max="53"/>
    <col width="2.6" customWidth="1" min="54" max="54"/>
    <col width="2.6" customWidth="1" min="55" max="55"/>
    <col width="2.6" customWidth="1" min="56" max="56"/>
    <col width="2.6" customWidth="1" min="57" max="57"/>
    <col width="2.6" customWidth="1" min="58" max="58"/>
    <col width="2.6" customWidth="1" min="59" max="59"/>
    <col width="2.6" customWidth="1" min="60" max="60"/>
    <col width="2.6" customWidth="1" min="61" max="61"/>
    <col width="2.6" customWidth="1" min="62" max="62"/>
    <col width="2.6" customWidth="1" min="63" max="63"/>
    <col width="2.6" customWidth="1" min="64" max="64"/>
    <col width="2.6" customWidth="1" min="65" max="65"/>
    <col width="2.6" customWidth="1" min="66" max="66"/>
    <col width="2.6" customWidth="1" min="67" max="67"/>
  </cols>
  <sheetData>
    <row r="1">
      <c r="A1" s="32" t="inlineStr">
        <is>
          <t>المخطط الزمني للأشغال (Gantt)</t>
        </is>
      </c>
    </row>
    <row r="2">
      <c r="A2" s="2" t="inlineStr">
        <is>
          <t>أدخل البداية والمدة ونسبة الإنجاز فقط — النهاية والحالة والأشرطة تُحسب تلقائيًا. الأسابيع تبدأ يوم الإثنين.</t>
        </is>
      </c>
    </row>
    <row r="3">
      <c r="L3" s="33" t="inlineStr">
        <is>
          <t>مارس 2026</t>
        </is>
      </c>
      <c r="Q3" s="33" t="inlineStr">
        <is>
          <t>أفريل</t>
        </is>
      </c>
      <c r="U3" s="33" t="inlineStr">
        <is>
          <t>ماي</t>
        </is>
      </c>
      <c r="Y3" s="33" t="inlineStr">
        <is>
          <t>جوان</t>
        </is>
      </c>
      <c r="AD3" s="33" t="inlineStr">
        <is>
          <t>جويلية</t>
        </is>
      </c>
      <c r="AH3" s="33" t="inlineStr">
        <is>
          <t>أوت</t>
        </is>
      </c>
      <c r="AM3" s="33" t="inlineStr">
        <is>
          <t>سبتمبر</t>
        </is>
      </c>
      <c r="AQ3" s="33" t="inlineStr">
        <is>
          <t>أكتوبر</t>
        </is>
      </c>
      <c r="AU3" s="33" t="inlineStr">
        <is>
          <t>نوفمبر</t>
        </is>
      </c>
      <c r="AZ3" s="33" t="inlineStr">
        <is>
          <t>ديسمبر</t>
        </is>
      </c>
      <c r="BD3" s="33" t="inlineStr">
        <is>
          <t>جانفي 2027</t>
        </is>
      </c>
      <c r="BH3" s="33" t="inlineStr">
        <is>
          <t>فيفري</t>
        </is>
      </c>
      <c r="BL3" s="33" t="inlineStr">
        <is>
          <t>مارس</t>
        </is>
      </c>
    </row>
    <row r="4" ht="34" customHeight="1">
      <c r="A4" s="34" t="inlineStr">
        <is>
          <t>#</t>
        </is>
      </c>
      <c r="B4" s="34" t="inlineStr">
        <is>
          <t>المهمة</t>
        </is>
      </c>
      <c r="C4" s="34" t="inlineStr">
        <is>
          <t>الحصة</t>
        </is>
      </c>
      <c r="D4" s="34" t="inlineStr">
        <is>
          <t>المسؤول</t>
        </is>
      </c>
      <c r="E4" s="34" t="inlineStr">
        <is>
          <t>البداية</t>
        </is>
      </c>
      <c r="F4" s="34" t="inlineStr">
        <is>
          <t>المدة (يوم عمل)</t>
        </is>
      </c>
      <c r="G4" s="34" t="inlineStr">
        <is>
          <t>النهاية</t>
        </is>
      </c>
      <c r="H4" s="34" t="inlineStr">
        <is>
          <t>الإنجاز</t>
        </is>
      </c>
      <c r="I4" s="34" t="inlineStr">
        <is>
          <t>الحالة</t>
        </is>
      </c>
      <c r="J4" s="34" t="inlineStr">
        <is>
          <t>الميزانية</t>
        </is>
      </c>
      <c r="L4" s="35">
        <f>Debut</f>
        <v/>
      </c>
      <c r="M4" s="35">
        <f>Debut+7</f>
        <v/>
      </c>
      <c r="N4" s="35">
        <f>Debut+14</f>
        <v/>
      </c>
      <c r="O4" s="35">
        <f>Debut+21</f>
        <v/>
      </c>
      <c r="P4" s="35">
        <f>Debut+28</f>
        <v/>
      </c>
      <c r="Q4" s="35">
        <f>Debut+35</f>
        <v/>
      </c>
      <c r="R4" s="35">
        <f>Debut+42</f>
        <v/>
      </c>
      <c r="S4" s="35">
        <f>Debut+49</f>
        <v/>
      </c>
      <c r="T4" s="35">
        <f>Debut+56</f>
        <v/>
      </c>
      <c r="U4" s="35">
        <f>Debut+63</f>
        <v/>
      </c>
      <c r="V4" s="35">
        <f>Debut+70</f>
        <v/>
      </c>
      <c r="W4" s="35">
        <f>Debut+77</f>
        <v/>
      </c>
      <c r="X4" s="35">
        <f>Debut+84</f>
        <v/>
      </c>
      <c r="Y4" s="35">
        <f>Debut+91</f>
        <v/>
      </c>
      <c r="Z4" s="35">
        <f>Debut+98</f>
        <v/>
      </c>
      <c r="AA4" s="35">
        <f>Debut+105</f>
        <v/>
      </c>
      <c r="AB4" s="35">
        <f>Debut+112</f>
        <v/>
      </c>
      <c r="AC4" s="35">
        <f>Debut+119</f>
        <v/>
      </c>
      <c r="AD4" s="35">
        <f>Debut+126</f>
        <v/>
      </c>
      <c r="AE4" s="35">
        <f>Debut+133</f>
        <v/>
      </c>
      <c r="AF4" s="35">
        <f>Debut+140</f>
        <v/>
      </c>
      <c r="AG4" s="35">
        <f>Debut+147</f>
        <v/>
      </c>
      <c r="AH4" s="35">
        <f>Debut+154</f>
        <v/>
      </c>
      <c r="AI4" s="35">
        <f>Debut+161</f>
        <v/>
      </c>
      <c r="AJ4" s="35">
        <f>Debut+168</f>
        <v/>
      </c>
      <c r="AK4" s="35">
        <f>Debut+175</f>
        <v/>
      </c>
      <c r="AL4" s="35">
        <f>Debut+182</f>
        <v/>
      </c>
      <c r="AM4" s="35">
        <f>Debut+189</f>
        <v/>
      </c>
      <c r="AN4" s="35">
        <f>Debut+196</f>
        <v/>
      </c>
      <c r="AO4" s="35">
        <f>Debut+203</f>
        <v/>
      </c>
      <c r="AP4" s="35">
        <f>Debut+210</f>
        <v/>
      </c>
      <c r="AQ4" s="35">
        <f>Debut+217</f>
        <v/>
      </c>
      <c r="AR4" s="35">
        <f>Debut+224</f>
        <v/>
      </c>
      <c r="AS4" s="35">
        <f>Debut+231</f>
        <v/>
      </c>
      <c r="AT4" s="35">
        <f>Debut+238</f>
        <v/>
      </c>
      <c r="AU4" s="35">
        <f>Debut+245</f>
        <v/>
      </c>
      <c r="AV4" s="35">
        <f>Debut+252</f>
        <v/>
      </c>
      <c r="AW4" s="35">
        <f>Debut+259</f>
        <v/>
      </c>
      <c r="AX4" s="35">
        <f>Debut+266</f>
        <v/>
      </c>
      <c r="AY4" s="35">
        <f>Debut+273</f>
        <v/>
      </c>
      <c r="AZ4" s="35">
        <f>Debut+280</f>
        <v/>
      </c>
      <c r="BA4" s="35">
        <f>Debut+287</f>
        <v/>
      </c>
      <c r="BB4" s="35">
        <f>Debut+294</f>
        <v/>
      </c>
      <c r="BC4" s="35">
        <f>Debut+301</f>
        <v/>
      </c>
      <c r="BD4" s="35">
        <f>Debut+308</f>
        <v/>
      </c>
      <c r="BE4" s="35">
        <f>Debut+315</f>
        <v/>
      </c>
      <c r="BF4" s="35">
        <f>Debut+322</f>
        <v/>
      </c>
      <c r="BG4" s="35">
        <f>Debut+329</f>
        <v/>
      </c>
      <c r="BH4" s="35">
        <f>Debut+336</f>
        <v/>
      </c>
      <c r="BI4" s="35">
        <f>Debut+343</f>
        <v/>
      </c>
      <c r="BJ4" s="35">
        <f>Debut+350</f>
        <v/>
      </c>
      <c r="BK4" s="35">
        <f>Debut+357</f>
        <v/>
      </c>
      <c r="BL4" s="35">
        <f>Debut+364</f>
        <v/>
      </c>
      <c r="BM4" s="35">
        <f>Debut+371</f>
        <v/>
      </c>
      <c r="BN4" s="35">
        <f>Debut+378</f>
        <v/>
      </c>
      <c r="BO4" s="35">
        <f>Debut+385</f>
        <v/>
      </c>
    </row>
    <row r="5" ht="20" customHeight="1">
      <c r="A5" s="36" t="n">
        <v>1</v>
      </c>
      <c r="B5" s="36" t="inlineStr">
        <is>
          <t>الدراسة المعمارية والهندسية</t>
        </is>
      </c>
      <c r="C5" s="36" t="inlineStr">
        <is>
          <t>دراسات وتراخيص</t>
        </is>
      </c>
      <c r="D5" s="36" t="inlineStr">
        <is>
          <t>مكتب الدراسات</t>
        </is>
      </c>
      <c r="E5" s="37" t="n">
        <v>46083</v>
      </c>
      <c r="F5" s="36" t="n">
        <v>27</v>
      </c>
      <c r="G5" s="37">
        <f>WORKDAY.INTL(E5,F5-1,Repos)</f>
        <v/>
      </c>
      <c r="H5" s="38" t="n">
        <v>1</v>
      </c>
      <c r="I5" s="36">
        <f>IF(H5&gt;=1,"مكتملة",IF(AND(Suivi&gt;G5,H5&lt;1),"متأخرة",IF(Suivi&lt;E5,"لم تبدأ",IF(H5+0.15&lt;(Suivi-E5)/MAX(1,G5-E5),"تحتاج متابعة","جارية"))))</f>
        <v/>
      </c>
      <c r="J5" s="39" t="n">
        <v>650000</v>
      </c>
      <c r="L5" s="40">
        <f>IF(AND(L$4&lt;=$G5,L$4+6&gt;=$E5),IF(OR($H5&gt;=1,AND($H5&gt;0,L$4+3&lt;$E5+($G5-$E5+1)*$H5)),2,1),IF(AND(Suivi&gt;=L$4,Suivi&lt;L$4+7),3,0))</f>
        <v/>
      </c>
      <c r="M5" s="40">
        <f>IF(AND(M$4&lt;=$G5,M$4+6&gt;=$E5),IF(OR($H5&gt;=1,AND($H5&gt;0,M$4+3&lt;$E5+($G5-$E5+1)*$H5)),2,1),IF(AND(Suivi&gt;=M$4,Suivi&lt;M$4+7),3,0))</f>
        <v/>
      </c>
      <c r="N5" s="40">
        <f>IF(AND(N$4&lt;=$G5,N$4+6&gt;=$E5),IF(OR($H5&gt;=1,AND($H5&gt;0,N$4+3&lt;$E5+($G5-$E5+1)*$H5)),2,1),IF(AND(Suivi&gt;=N$4,Suivi&lt;N$4+7),3,0))</f>
        <v/>
      </c>
      <c r="O5" s="40">
        <f>IF(AND(O$4&lt;=$G5,O$4+6&gt;=$E5),IF(OR($H5&gt;=1,AND($H5&gt;0,O$4+3&lt;$E5+($G5-$E5+1)*$H5)),2,1),IF(AND(Suivi&gt;=O$4,Suivi&lt;O$4+7),3,0))</f>
        <v/>
      </c>
      <c r="P5" s="40">
        <f>IF(AND(P$4&lt;=$G5,P$4+6&gt;=$E5),IF(OR($H5&gt;=1,AND($H5&gt;0,P$4+3&lt;$E5+($G5-$E5+1)*$H5)),2,1),IF(AND(Suivi&gt;=P$4,Suivi&lt;P$4+7),3,0))</f>
        <v/>
      </c>
      <c r="Q5" s="40">
        <f>IF(AND(Q$4&lt;=$G5,Q$4+6&gt;=$E5),IF(OR($H5&gt;=1,AND($H5&gt;0,Q$4+3&lt;$E5+($G5-$E5+1)*$H5)),2,1),IF(AND(Suivi&gt;=Q$4,Suivi&lt;Q$4+7),3,0))</f>
        <v/>
      </c>
      <c r="R5" s="40">
        <f>IF(AND(R$4&lt;=$G5,R$4+6&gt;=$E5),IF(OR($H5&gt;=1,AND($H5&gt;0,R$4+3&lt;$E5+($G5-$E5+1)*$H5)),2,1),IF(AND(Suivi&gt;=R$4,Suivi&lt;R$4+7),3,0))</f>
        <v/>
      </c>
      <c r="S5" s="40">
        <f>IF(AND(S$4&lt;=$G5,S$4+6&gt;=$E5),IF(OR($H5&gt;=1,AND($H5&gt;0,S$4+3&lt;$E5+($G5-$E5+1)*$H5)),2,1),IF(AND(Suivi&gt;=S$4,Suivi&lt;S$4+7),3,0))</f>
        <v/>
      </c>
      <c r="T5" s="40">
        <f>IF(AND(T$4&lt;=$G5,T$4+6&gt;=$E5),IF(OR($H5&gt;=1,AND($H5&gt;0,T$4+3&lt;$E5+($G5-$E5+1)*$H5)),2,1),IF(AND(Suivi&gt;=T$4,Suivi&lt;T$4+7),3,0))</f>
        <v/>
      </c>
      <c r="U5" s="40">
        <f>IF(AND(U$4&lt;=$G5,U$4+6&gt;=$E5),IF(OR($H5&gt;=1,AND($H5&gt;0,U$4+3&lt;$E5+($G5-$E5+1)*$H5)),2,1),IF(AND(Suivi&gt;=U$4,Suivi&lt;U$4+7),3,0))</f>
        <v/>
      </c>
      <c r="V5" s="40">
        <f>IF(AND(V$4&lt;=$G5,V$4+6&gt;=$E5),IF(OR($H5&gt;=1,AND($H5&gt;0,V$4+3&lt;$E5+($G5-$E5+1)*$H5)),2,1),IF(AND(Suivi&gt;=V$4,Suivi&lt;V$4+7),3,0))</f>
        <v/>
      </c>
      <c r="W5" s="40">
        <f>IF(AND(W$4&lt;=$G5,W$4+6&gt;=$E5),IF(OR($H5&gt;=1,AND($H5&gt;0,W$4+3&lt;$E5+($G5-$E5+1)*$H5)),2,1),IF(AND(Suivi&gt;=W$4,Suivi&lt;W$4+7),3,0))</f>
        <v/>
      </c>
      <c r="X5" s="40">
        <f>IF(AND(X$4&lt;=$G5,X$4+6&gt;=$E5),IF(OR($H5&gt;=1,AND($H5&gt;0,X$4+3&lt;$E5+($G5-$E5+1)*$H5)),2,1),IF(AND(Suivi&gt;=X$4,Suivi&lt;X$4+7),3,0))</f>
        <v/>
      </c>
      <c r="Y5" s="40">
        <f>IF(AND(Y$4&lt;=$G5,Y$4+6&gt;=$E5),IF(OR($H5&gt;=1,AND($H5&gt;0,Y$4+3&lt;$E5+($G5-$E5+1)*$H5)),2,1),IF(AND(Suivi&gt;=Y$4,Suivi&lt;Y$4+7),3,0))</f>
        <v/>
      </c>
      <c r="Z5" s="40">
        <f>IF(AND(Z$4&lt;=$G5,Z$4+6&gt;=$E5),IF(OR($H5&gt;=1,AND($H5&gt;0,Z$4+3&lt;$E5+($G5-$E5+1)*$H5)),2,1),IF(AND(Suivi&gt;=Z$4,Suivi&lt;Z$4+7),3,0))</f>
        <v/>
      </c>
      <c r="AA5" s="40">
        <f>IF(AND(AA$4&lt;=$G5,AA$4+6&gt;=$E5),IF(OR($H5&gt;=1,AND($H5&gt;0,AA$4+3&lt;$E5+($G5-$E5+1)*$H5)),2,1),IF(AND(Suivi&gt;=AA$4,Suivi&lt;AA$4+7),3,0))</f>
        <v/>
      </c>
      <c r="AB5" s="40">
        <f>IF(AND(AB$4&lt;=$G5,AB$4+6&gt;=$E5),IF(OR($H5&gt;=1,AND($H5&gt;0,AB$4+3&lt;$E5+($G5-$E5+1)*$H5)),2,1),IF(AND(Suivi&gt;=AB$4,Suivi&lt;AB$4+7),3,0))</f>
        <v/>
      </c>
      <c r="AC5" s="40">
        <f>IF(AND(AC$4&lt;=$G5,AC$4+6&gt;=$E5),IF(OR($H5&gt;=1,AND($H5&gt;0,AC$4+3&lt;$E5+($G5-$E5+1)*$H5)),2,1),IF(AND(Suivi&gt;=AC$4,Suivi&lt;AC$4+7),3,0))</f>
        <v/>
      </c>
      <c r="AD5" s="40">
        <f>IF(AND(AD$4&lt;=$G5,AD$4+6&gt;=$E5),IF(OR($H5&gt;=1,AND($H5&gt;0,AD$4+3&lt;$E5+($G5-$E5+1)*$H5)),2,1),IF(AND(Suivi&gt;=AD$4,Suivi&lt;AD$4+7),3,0))</f>
        <v/>
      </c>
      <c r="AE5" s="40">
        <f>IF(AND(AE$4&lt;=$G5,AE$4+6&gt;=$E5),IF(OR($H5&gt;=1,AND($H5&gt;0,AE$4+3&lt;$E5+($G5-$E5+1)*$H5)),2,1),IF(AND(Suivi&gt;=AE$4,Suivi&lt;AE$4+7),3,0))</f>
        <v/>
      </c>
      <c r="AF5" s="40">
        <f>IF(AND(AF$4&lt;=$G5,AF$4+6&gt;=$E5),IF(OR($H5&gt;=1,AND($H5&gt;0,AF$4+3&lt;$E5+($G5-$E5+1)*$H5)),2,1),IF(AND(Suivi&gt;=AF$4,Suivi&lt;AF$4+7),3,0))</f>
        <v/>
      </c>
      <c r="AG5" s="40">
        <f>IF(AND(AG$4&lt;=$G5,AG$4+6&gt;=$E5),IF(OR($H5&gt;=1,AND($H5&gt;0,AG$4+3&lt;$E5+($G5-$E5+1)*$H5)),2,1),IF(AND(Suivi&gt;=AG$4,Suivi&lt;AG$4+7),3,0))</f>
        <v/>
      </c>
      <c r="AH5" s="40">
        <f>IF(AND(AH$4&lt;=$G5,AH$4+6&gt;=$E5),IF(OR($H5&gt;=1,AND($H5&gt;0,AH$4+3&lt;$E5+($G5-$E5+1)*$H5)),2,1),IF(AND(Suivi&gt;=AH$4,Suivi&lt;AH$4+7),3,0))</f>
        <v/>
      </c>
      <c r="AI5" s="40">
        <f>IF(AND(AI$4&lt;=$G5,AI$4+6&gt;=$E5),IF(OR($H5&gt;=1,AND($H5&gt;0,AI$4+3&lt;$E5+($G5-$E5+1)*$H5)),2,1),IF(AND(Suivi&gt;=AI$4,Suivi&lt;AI$4+7),3,0))</f>
        <v/>
      </c>
      <c r="AJ5" s="40">
        <f>IF(AND(AJ$4&lt;=$G5,AJ$4+6&gt;=$E5),IF(OR($H5&gt;=1,AND($H5&gt;0,AJ$4+3&lt;$E5+($G5-$E5+1)*$H5)),2,1),IF(AND(Suivi&gt;=AJ$4,Suivi&lt;AJ$4+7),3,0))</f>
        <v/>
      </c>
      <c r="AK5" s="40">
        <f>IF(AND(AK$4&lt;=$G5,AK$4+6&gt;=$E5),IF(OR($H5&gt;=1,AND($H5&gt;0,AK$4+3&lt;$E5+($G5-$E5+1)*$H5)),2,1),IF(AND(Suivi&gt;=AK$4,Suivi&lt;AK$4+7),3,0))</f>
        <v/>
      </c>
      <c r="AL5" s="40">
        <f>IF(AND(AL$4&lt;=$G5,AL$4+6&gt;=$E5),IF(OR($H5&gt;=1,AND($H5&gt;0,AL$4+3&lt;$E5+($G5-$E5+1)*$H5)),2,1),IF(AND(Suivi&gt;=AL$4,Suivi&lt;AL$4+7),3,0))</f>
        <v/>
      </c>
      <c r="AM5" s="40">
        <f>IF(AND(AM$4&lt;=$G5,AM$4+6&gt;=$E5),IF(OR($H5&gt;=1,AND($H5&gt;0,AM$4+3&lt;$E5+($G5-$E5+1)*$H5)),2,1),IF(AND(Suivi&gt;=AM$4,Suivi&lt;AM$4+7),3,0))</f>
        <v/>
      </c>
      <c r="AN5" s="40">
        <f>IF(AND(AN$4&lt;=$G5,AN$4+6&gt;=$E5),IF(OR($H5&gt;=1,AND($H5&gt;0,AN$4+3&lt;$E5+($G5-$E5+1)*$H5)),2,1),IF(AND(Suivi&gt;=AN$4,Suivi&lt;AN$4+7),3,0))</f>
        <v/>
      </c>
      <c r="AO5" s="40">
        <f>IF(AND(AO$4&lt;=$G5,AO$4+6&gt;=$E5),IF(OR($H5&gt;=1,AND($H5&gt;0,AO$4+3&lt;$E5+($G5-$E5+1)*$H5)),2,1),IF(AND(Suivi&gt;=AO$4,Suivi&lt;AO$4+7),3,0))</f>
        <v/>
      </c>
      <c r="AP5" s="40">
        <f>IF(AND(AP$4&lt;=$G5,AP$4+6&gt;=$E5),IF(OR($H5&gt;=1,AND($H5&gt;0,AP$4+3&lt;$E5+($G5-$E5+1)*$H5)),2,1),IF(AND(Suivi&gt;=AP$4,Suivi&lt;AP$4+7),3,0))</f>
        <v/>
      </c>
      <c r="AQ5" s="40">
        <f>IF(AND(AQ$4&lt;=$G5,AQ$4+6&gt;=$E5),IF(OR($H5&gt;=1,AND($H5&gt;0,AQ$4+3&lt;$E5+($G5-$E5+1)*$H5)),2,1),IF(AND(Suivi&gt;=AQ$4,Suivi&lt;AQ$4+7),3,0))</f>
        <v/>
      </c>
      <c r="AR5" s="40">
        <f>IF(AND(AR$4&lt;=$G5,AR$4+6&gt;=$E5),IF(OR($H5&gt;=1,AND($H5&gt;0,AR$4+3&lt;$E5+($G5-$E5+1)*$H5)),2,1),IF(AND(Suivi&gt;=AR$4,Suivi&lt;AR$4+7),3,0))</f>
        <v/>
      </c>
      <c r="AS5" s="40">
        <f>IF(AND(AS$4&lt;=$G5,AS$4+6&gt;=$E5),IF(OR($H5&gt;=1,AND($H5&gt;0,AS$4+3&lt;$E5+($G5-$E5+1)*$H5)),2,1),IF(AND(Suivi&gt;=AS$4,Suivi&lt;AS$4+7),3,0))</f>
        <v/>
      </c>
      <c r="AT5" s="40">
        <f>IF(AND(AT$4&lt;=$G5,AT$4+6&gt;=$E5),IF(OR($H5&gt;=1,AND($H5&gt;0,AT$4+3&lt;$E5+($G5-$E5+1)*$H5)),2,1),IF(AND(Suivi&gt;=AT$4,Suivi&lt;AT$4+7),3,0))</f>
        <v/>
      </c>
      <c r="AU5" s="40">
        <f>IF(AND(AU$4&lt;=$G5,AU$4+6&gt;=$E5),IF(OR($H5&gt;=1,AND($H5&gt;0,AU$4+3&lt;$E5+($G5-$E5+1)*$H5)),2,1),IF(AND(Suivi&gt;=AU$4,Suivi&lt;AU$4+7),3,0))</f>
        <v/>
      </c>
      <c r="AV5" s="40">
        <f>IF(AND(AV$4&lt;=$G5,AV$4+6&gt;=$E5),IF(OR($H5&gt;=1,AND($H5&gt;0,AV$4+3&lt;$E5+($G5-$E5+1)*$H5)),2,1),IF(AND(Suivi&gt;=AV$4,Suivi&lt;AV$4+7),3,0))</f>
        <v/>
      </c>
      <c r="AW5" s="40">
        <f>IF(AND(AW$4&lt;=$G5,AW$4+6&gt;=$E5),IF(OR($H5&gt;=1,AND($H5&gt;0,AW$4+3&lt;$E5+($G5-$E5+1)*$H5)),2,1),IF(AND(Suivi&gt;=AW$4,Suivi&lt;AW$4+7),3,0))</f>
        <v/>
      </c>
      <c r="AX5" s="40">
        <f>IF(AND(AX$4&lt;=$G5,AX$4+6&gt;=$E5),IF(OR($H5&gt;=1,AND($H5&gt;0,AX$4+3&lt;$E5+($G5-$E5+1)*$H5)),2,1),IF(AND(Suivi&gt;=AX$4,Suivi&lt;AX$4+7),3,0))</f>
        <v/>
      </c>
      <c r="AY5" s="40">
        <f>IF(AND(AY$4&lt;=$G5,AY$4+6&gt;=$E5),IF(OR($H5&gt;=1,AND($H5&gt;0,AY$4+3&lt;$E5+($G5-$E5+1)*$H5)),2,1),IF(AND(Suivi&gt;=AY$4,Suivi&lt;AY$4+7),3,0))</f>
        <v/>
      </c>
      <c r="AZ5" s="40">
        <f>IF(AND(AZ$4&lt;=$G5,AZ$4+6&gt;=$E5),IF(OR($H5&gt;=1,AND($H5&gt;0,AZ$4+3&lt;$E5+($G5-$E5+1)*$H5)),2,1),IF(AND(Suivi&gt;=AZ$4,Suivi&lt;AZ$4+7),3,0))</f>
        <v/>
      </c>
      <c r="BA5" s="40">
        <f>IF(AND(BA$4&lt;=$G5,BA$4+6&gt;=$E5),IF(OR($H5&gt;=1,AND($H5&gt;0,BA$4+3&lt;$E5+($G5-$E5+1)*$H5)),2,1),IF(AND(Suivi&gt;=BA$4,Suivi&lt;BA$4+7),3,0))</f>
        <v/>
      </c>
      <c r="BB5" s="40">
        <f>IF(AND(BB$4&lt;=$G5,BB$4+6&gt;=$E5),IF(OR($H5&gt;=1,AND($H5&gt;0,BB$4+3&lt;$E5+($G5-$E5+1)*$H5)),2,1),IF(AND(Suivi&gt;=BB$4,Suivi&lt;BB$4+7),3,0))</f>
        <v/>
      </c>
      <c r="BC5" s="40">
        <f>IF(AND(BC$4&lt;=$G5,BC$4+6&gt;=$E5),IF(OR($H5&gt;=1,AND($H5&gt;0,BC$4+3&lt;$E5+($G5-$E5+1)*$H5)),2,1),IF(AND(Suivi&gt;=BC$4,Suivi&lt;BC$4+7),3,0))</f>
        <v/>
      </c>
      <c r="BD5" s="40">
        <f>IF(AND(BD$4&lt;=$G5,BD$4+6&gt;=$E5),IF(OR($H5&gt;=1,AND($H5&gt;0,BD$4+3&lt;$E5+($G5-$E5+1)*$H5)),2,1),IF(AND(Suivi&gt;=BD$4,Suivi&lt;BD$4+7),3,0))</f>
        <v/>
      </c>
      <c r="BE5" s="40">
        <f>IF(AND(BE$4&lt;=$G5,BE$4+6&gt;=$E5),IF(OR($H5&gt;=1,AND($H5&gt;0,BE$4+3&lt;$E5+($G5-$E5+1)*$H5)),2,1),IF(AND(Suivi&gt;=BE$4,Suivi&lt;BE$4+7),3,0))</f>
        <v/>
      </c>
      <c r="BF5" s="40">
        <f>IF(AND(BF$4&lt;=$G5,BF$4+6&gt;=$E5),IF(OR($H5&gt;=1,AND($H5&gt;0,BF$4+3&lt;$E5+($G5-$E5+1)*$H5)),2,1),IF(AND(Suivi&gt;=BF$4,Suivi&lt;BF$4+7),3,0))</f>
        <v/>
      </c>
      <c r="BG5" s="40">
        <f>IF(AND(BG$4&lt;=$G5,BG$4+6&gt;=$E5),IF(OR($H5&gt;=1,AND($H5&gt;0,BG$4+3&lt;$E5+($G5-$E5+1)*$H5)),2,1),IF(AND(Suivi&gt;=BG$4,Suivi&lt;BG$4+7),3,0))</f>
        <v/>
      </c>
      <c r="BH5" s="40">
        <f>IF(AND(BH$4&lt;=$G5,BH$4+6&gt;=$E5),IF(OR($H5&gt;=1,AND($H5&gt;0,BH$4+3&lt;$E5+($G5-$E5+1)*$H5)),2,1),IF(AND(Suivi&gt;=BH$4,Suivi&lt;BH$4+7),3,0))</f>
        <v/>
      </c>
      <c r="BI5" s="40">
        <f>IF(AND(BI$4&lt;=$G5,BI$4+6&gt;=$E5),IF(OR($H5&gt;=1,AND($H5&gt;0,BI$4+3&lt;$E5+($G5-$E5+1)*$H5)),2,1),IF(AND(Suivi&gt;=BI$4,Suivi&lt;BI$4+7),3,0))</f>
        <v/>
      </c>
      <c r="BJ5" s="40">
        <f>IF(AND(BJ$4&lt;=$G5,BJ$4+6&gt;=$E5),IF(OR($H5&gt;=1,AND($H5&gt;0,BJ$4+3&lt;$E5+($G5-$E5+1)*$H5)),2,1),IF(AND(Suivi&gt;=BJ$4,Suivi&lt;BJ$4+7),3,0))</f>
        <v/>
      </c>
      <c r="BK5" s="40">
        <f>IF(AND(BK$4&lt;=$G5,BK$4+6&gt;=$E5),IF(OR($H5&gt;=1,AND($H5&gt;0,BK$4+3&lt;$E5+($G5-$E5+1)*$H5)),2,1),IF(AND(Suivi&gt;=BK$4,Suivi&lt;BK$4+7),3,0))</f>
        <v/>
      </c>
      <c r="BL5" s="40">
        <f>IF(AND(BL$4&lt;=$G5,BL$4+6&gt;=$E5),IF(OR($H5&gt;=1,AND($H5&gt;0,BL$4+3&lt;$E5+($G5-$E5+1)*$H5)),2,1),IF(AND(Suivi&gt;=BL$4,Suivi&lt;BL$4+7),3,0))</f>
        <v/>
      </c>
      <c r="BM5" s="40">
        <f>IF(AND(BM$4&lt;=$G5,BM$4+6&gt;=$E5),IF(OR($H5&gt;=1,AND($H5&gt;0,BM$4+3&lt;$E5+($G5-$E5+1)*$H5)),2,1),IF(AND(Suivi&gt;=BM$4,Suivi&lt;BM$4+7),3,0))</f>
        <v/>
      </c>
      <c r="BN5" s="40">
        <f>IF(AND(BN$4&lt;=$G5,BN$4+6&gt;=$E5),IF(OR($H5&gt;=1,AND($H5&gt;0,BN$4+3&lt;$E5+($G5-$E5+1)*$H5)),2,1),IF(AND(Suivi&gt;=BN$4,Suivi&lt;BN$4+7),3,0))</f>
        <v/>
      </c>
      <c r="BO5" s="40">
        <f>IF(AND(BO$4&lt;=$G5,BO$4+6&gt;=$E5),IF(OR($H5&gt;=1,AND($H5&gt;0,BO$4+3&lt;$E5+($G5-$E5+1)*$H5)),2,1),IF(AND(Suivi&gt;=BO$4,Suivi&lt;BO$4+7),3,0))</f>
        <v/>
      </c>
    </row>
    <row r="6" ht="20" customHeight="1">
      <c r="A6" s="36" t="n">
        <v>2</v>
      </c>
      <c r="B6" s="36" t="inlineStr">
        <is>
          <t>رخصة البناء والملف الإداري</t>
        </is>
      </c>
      <c r="C6" s="36" t="inlineStr">
        <is>
          <t>دراسات وتراخيص</t>
        </is>
      </c>
      <c r="D6" s="36" t="inlineStr">
        <is>
          <t>صاحب المشروع</t>
        </is>
      </c>
      <c r="E6" s="37" t="n">
        <v>46114</v>
      </c>
      <c r="F6" s="36" t="n">
        <v>30</v>
      </c>
      <c r="G6" s="37">
        <f>WORKDAY.INTL(E6,F6-1,Repos)</f>
        <v/>
      </c>
      <c r="H6" s="38" t="n">
        <v>1</v>
      </c>
      <c r="I6" s="36">
        <f>IF(H6&gt;=1,"مكتملة",IF(AND(Suivi&gt;G6,H6&lt;1),"متأخرة",IF(Suivi&lt;E6,"لم تبدأ",IF(H6+0.15&lt;(Suivi-E6)/MAX(1,G6-E6),"تحتاج متابعة","جارية"))))</f>
        <v/>
      </c>
      <c r="J6" s="39" t="n">
        <v>120000</v>
      </c>
      <c r="L6" s="40">
        <f>IF(AND(L$4&lt;=$G6,L$4+6&gt;=$E6),IF(OR($H6&gt;=1,AND($H6&gt;0,L$4+3&lt;$E6+($G6-$E6+1)*$H6)),2,1),IF(AND(Suivi&gt;=L$4,Suivi&lt;L$4+7),3,0))</f>
        <v/>
      </c>
      <c r="M6" s="40">
        <f>IF(AND(M$4&lt;=$G6,M$4+6&gt;=$E6),IF(OR($H6&gt;=1,AND($H6&gt;0,M$4+3&lt;$E6+($G6-$E6+1)*$H6)),2,1),IF(AND(Suivi&gt;=M$4,Suivi&lt;M$4+7),3,0))</f>
        <v/>
      </c>
      <c r="N6" s="40">
        <f>IF(AND(N$4&lt;=$G6,N$4+6&gt;=$E6),IF(OR($H6&gt;=1,AND($H6&gt;0,N$4+3&lt;$E6+($G6-$E6+1)*$H6)),2,1),IF(AND(Suivi&gt;=N$4,Suivi&lt;N$4+7),3,0))</f>
        <v/>
      </c>
      <c r="O6" s="40">
        <f>IF(AND(O$4&lt;=$G6,O$4+6&gt;=$E6),IF(OR($H6&gt;=1,AND($H6&gt;0,O$4+3&lt;$E6+($G6-$E6+1)*$H6)),2,1),IF(AND(Suivi&gt;=O$4,Suivi&lt;O$4+7),3,0))</f>
        <v/>
      </c>
      <c r="P6" s="40">
        <f>IF(AND(P$4&lt;=$G6,P$4+6&gt;=$E6),IF(OR($H6&gt;=1,AND($H6&gt;0,P$4+3&lt;$E6+($G6-$E6+1)*$H6)),2,1),IF(AND(Suivi&gt;=P$4,Suivi&lt;P$4+7),3,0))</f>
        <v/>
      </c>
      <c r="Q6" s="40">
        <f>IF(AND(Q$4&lt;=$G6,Q$4+6&gt;=$E6),IF(OR($H6&gt;=1,AND($H6&gt;0,Q$4+3&lt;$E6+($G6-$E6+1)*$H6)),2,1),IF(AND(Suivi&gt;=Q$4,Suivi&lt;Q$4+7),3,0))</f>
        <v/>
      </c>
      <c r="R6" s="40">
        <f>IF(AND(R$4&lt;=$G6,R$4+6&gt;=$E6),IF(OR($H6&gt;=1,AND($H6&gt;0,R$4+3&lt;$E6+($G6-$E6+1)*$H6)),2,1),IF(AND(Suivi&gt;=R$4,Suivi&lt;R$4+7),3,0))</f>
        <v/>
      </c>
      <c r="S6" s="40">
        <f>IF(AND(S$4&lt;=$G6,S$4+6&gt;=$E6),IF(OR($H6&gt;=1,AND($H6&gt;0,S$4+3&lt;$E6+($G6-$E6+1)*$H6)),2,1),IF(AND(Suivi&gt;=S$4,Suivi&lt;S$4+7),3,0))</f>
        <v/>
      </c>
      <c r="T6" s="40">
        <f>IF(AND(T$4&lt;=$G6,T$4+6&gt;=$E6),IF(OR($H6&gt;=1,AND($H6&gt;0,T$4+3&lt;$E6+($G6-$E6+1)*$H6)),2,1),IF(AND(Suivi&gt;=T$4,Suivi&lt;T$4+7),3,0))</f>
        <v/>
      </c>
      <c r="U6" s="40">
        <f>IF(AND(U$4&lt;=$G6,U$4+6&gt;=$E6),IF(OR($H6&gt;=1,AND($H6&gt;0,U$4+3&lt;$E6+($G6-$E6+1)*$H6)),2,1),IF(AND(Suivi&gt;=U$4,Suivi&lt;U$4+7),3,0))</f>
        <v/>
      </c>
      <c r="V6" s="40">
        <f>IF(AND(V$4&lt;=$G6,V$4+6&gt;=$E6),IF(OR($H6&gt;=1,AND($H6&gt;0,V$4+3&lt;$E6+($G6-$E6+1)*$H6)),2,1),IF(AND(Suivi&gt;=V$4,Suivi&lt;V$4+7),3,0))</f>
        <v/>
      </c>
      <c r="W6" s="40">
        <f>IF(AND(W$4&lt;=$G6,W$4+6&gt;=$E6),IF(OR($H6&gt;=1,AND($H6&gt;0,W$4+3&lt;$E6+($G6-$E6+1)*$H6)),2,1),IF(AND(Suivi&gt;=W$4,Suivi&lt;W$4+7),3,0))</f>
        <v/>
      </c>
      <c r="X6" s="40">
        <f>IF(AND(X$4&lt;=$G6,X$4+6&gt;=$E6),IF(OR($H6&gt;=1,AND($H6&gt;0,X$4+3&lt;$E6+($G6-$E6+1)*$H6)),2,1),IF(AND(Suivi&gt;=X$4,Suivi&lt;X$4+7),3,0))</f>
        <v/>
      </c>
      <c r="Y6" s="40">
        <f>IF(AND(Y$4&lt;=$G6,Y$4+6&gt;=$E6),IF(OR($H6&gt;=1,AND($H6&gt;0,Y$4+3&lt;$E6+($G6-$E6+1)*$H6)),2,1),IF(AND(Suivi&gt;=Y$4,Suivi&lt;Y$4+7),3,0))</f>
        <v/>
      </c>
      <c r="Z6" s="40">
        <f>IF(AND(Z$4&lt;=$G6,Z$4+6&gt;=$E6),IF(OR($H6&gt;=1,AND($H6&gt;0,Z$4+3&lt;$E6+($G6-$E6+1)*$H6)),2,1),IF(AND(Suivi&gt;=Z$4,Suivi&lt;Z$4+7),3,0))</f>
        <v/>
      </c>
      <c r="AA6" s="40">
        <f>IF(AND(AA$4&lt;=$G6,AA$4+6&gt;=$E6),IF(OR($H6&gt;=1,AND($H6&gt;0,AA$4+3&lt;$E6+($G6-$E6+1)*$H6)),2,1),IF(AND(Suivi&gt;=AA$4,Suivi&lt;AA$4+7),3,0))</f>
        <v/>
      </c>
      <c r="AB6" s="40">
        <f>IF(AND(AB$4&lt;=$G6,AB$4+6&gt;=$E6),IF(OR($H6&gt;=1,AND($H6&gt;0,AB$4+3&lt;$E6+($G6-$E6+1)*$H6)),2,1),IF(AND(Suivi&gt;=AB$4,Suivi&lt;AB$4+7),3,0))</f>
        <v/>
      </c>
      <c r="AC6" s="40">
        <f>IF(AND(AC$4&lt;=$G6,AC$4+6&gt;=$E6),IF(OR($H6&gt;=1,AND($H6&gt;0,AC$4+3&lt;$E6+($G6-$E6+1)*$H6)),2,1),IF(AND(Suivi&gt;=AC$4,Suivi&lt;AC$4+7),3,0))</f>
        <v/>
      </c>
      <c r="AD6" s="40">
        <f>IF(AND(AD$4&lt;=$G6,AD$4+6&gt;=$E6),IF(OR($H6&gt;=1,AND($H6&gt;0,AD$4+3&lt;$E6+($G6-$E6+1)*$H6)),2,1),IF(AND(Suivi&gt;=AD$4,Suivi&lt;AD$4+7),3,0))</f>
        <v/>
      </c>
      <c r="AE6" s="40">
        <f>IF(AND(AE$4&lt;=$G6,AE$4+6&gt;=$E6),IF(OR($H6&gt;=1,AND($H6&gt;0,AE$4+3&lt;$E6+($G6-$E6+1)*$H6)),2,1),IF(AND(Suivi&gt;=AE$4,Suivi&lt;AE$4+7),3,0))</f>
        <v/>
      </c>
      <c r="AF6" s="40">
        <f>IF(AND(AF$4&lt;=$G6,AF$4+6&gt;=$E6),IF(OR($H6&gt;=1,AND($H6&gt;0,AF$4+3&lt;$E6+($G6-$E6+1)*$H6)),2,1),IF(AND(Suivi&gt;=AF$4,Suivi&lt;AF$4+7),3,0))</f>
        <v/>
      </c>
      <c r="AG6" s="40">
        <f>IF(AND(AG$4&lt;=$G6,AG$4+6&gt;=$E6),IF(OR($H6&gt;=1,AND($H6&gt;0,AG$4+3&lt;$E6+($G6-$E6+1)*$H6)),2,1),IF(AND(Suivi&gt;=AG$4,Suivi&lt;AG$4+7),3,0))</f>
        <v/>
      </c>
      <c r="AH6" s="40">
        <f>IF(AND(AH$4&lt;=$G6,AH$4+6&gt;=$E6),IF(OR($H6&gt;=1,AND($H6&gt;0,AH$4+3&lt;$E6+($G6-$E6+1)*$H6)),2,1),IF(AND(Suivi&gt;=AH$4,Suivi&lt;AH$4+7),3,0))</f>
        <v/>
      </c>
      <c r="AI6" s="40">
        <f>IF(AND(AI$4&lt;=$G6,AI$4+6&gt;=$E6),IF(OR($H6&gt;=1,AND($H6&gt;0,AI$4+3&lt;$E6+($G6-$E6+1)*$H6)),2,1),IF(AND(Suivi&gt;=AI$4,Suivi&lt;AI$4+7),3,0))</f>
        <v/>
      </c>
      <c r="AJ6" s="40">
        <f>IF(AND(AJ$4&lt;=$G6,AJ$4+6&gt;=$E6),IF(OR($H6&gt;=1,AND($H6&gt;0,AJ$4+3&lt;$E6+($G6-$E6+1)*$H6)),2,1),IF(AND(Suivi&gt;=AJ$4,Suivi&lt;AJ$4+7),3,0))</f>
        <v/>
      </c>
      <c r="AK6" s="40">
        <f>IF(AND(AK$4&lt;=$G6,AK$4+6&gt;=$E6),IF(OR($H6&gt;=1,AND($H6&gt;0,AK$4+3&lt;$E6+($G6-$E6+1)*$H6)),2,1),IF(AND(Suivi&gt;=AK$4,Suivi&lt;AK$4+7),3,0))</f>
        <v/>
      </c>
      <c r="AL6" s="40">
        <f>IF(AND(AL$4&lt;=$G6,AL$4+6&gt;=$E6),IF(OR($H6&gt;=1,AND($H6&gt;0,AL$4+3&lt;$E6+($G6-$E6+1)*$H6)),2,1),IF(AND(Suivi&gt;=AL$4,Suivi&lt;AL$4+7),3,0))</f>
        <v/>
      </c>
      <c r="AM6" s="40">
        <f>IF(AND(AM$4&lt;=$G6,AM$4+6&gt;=$E6),IF(OR($H6&gt;=1,AND($H6&gt;0,AM$4+3&lt;$E6+($G6-$E6+1)*$H6)),2,1),IF(AND(Suivi&gt;=AM$4,Suivi&lt;AM$4+7),3,0))</f>
        <v/>
      </c>
      <c r="AN6" s="40">
        <f>IF(AND(AN$4&lt;=$G6,AN$4+6&gt;=$E6),IF(OR($H6&gt;=1,AND($H6&gt;0,AN$4+3&lt;$E6+($G6-$E6+1)*$H6)),2,1),IF(AND(Suivi&gt;=AN$4,Suivi&lt;AN$4+7),3,0))</f>
        <v/>
      </c>
      <c r="AO6" s="40">
        <f>IF(AND(AO$4&lt;=$G6,AO$4+6&gt;=$E6),IF(OR($H6&gt;=1,AND($H6&gt;0,AO$4+3&lt;$E6+($G6-$E6+1)*$H6)),2,1),IF(AND(Suivi&gt;=AO$4,Suivi&lt;AO$4+7),3,0))</f>
        <v/>
      </c>
      <c r="AP6" s="40">
        <f>IF(AND(AP$4&lt;=$G6,AP$4+6&gt;=$E6),IF(OR($H6&gt;=1,AND($H6&gt;0,AP$4+3&lt;$E6+($G6-$E6+1)*$H6)),2,1),IF(AND(Suivi&gt;=AP$4,Suivi&lt;AP$4+7),3,0))</f>
        <v/>
      </c>
      <c r="AQ6" s="40">
        <f>IF(AND(AQ$4&lt;=$G6,AQ$4+6&gt;=$E6),IF(OR($H6&gt;=1,AND($H6&gt;0,AQ$4+3&lt;$E6+($G6-$E6+1)*$H6)),2,1),IF(AND(Suivi&gt;=AQ$4,Suivi&lt;AQ$4+7),3,0))</f>
        <v/>
      </c>
      <c r="AR6" s="40">
        <f>IF(AND(AR$4&lt;=$G6,AR$4+6&gt;=$E6),IF(OR($H6&gt;=1,AND($H6&gt;0,AR$4+3&lt;$E6+($G6-$E6+1)*$H6)),2,1),IF(AND(Suivi&gt;=AR$4,Suivi&lt;AR$4+7),3,0))</f>
        <v/>
      </c>
      <c r="AS6" s="40">
        <f>IF(AND(AS$4&lt;=$G6,AS$4+6&gt;=$E6),IF(OR($H6&gt;=1,AND($H6&gt;0,AS$4+3&lt;$E6+($G6-$E6+1)*$H6)),2,1),IF(AND(Suivi&gt;=AS$4,Suivi&lt;AS$4+7),3,0))</f>
        <v/>
      </c>
      <c r="AT6" s="40">
        <f>IF(AND(AT$4&lt;=$G6,AT$4+6&gt;=$E6),IF(OR($H6&gt;=1,AND($H6&gt;0,AT$4+3&lt;$E6+($G6-$E6+1)*$H6)),2,1),IF(AND(Suivi&gt;=AT$4,Suivi&lt;AT$4+7),3,0))</f>
        <v/>
      </c>
      <c r="AU6" s="40">
        <f>IF(AND(AU$4&lt;=$G6,AU$4+6&gt;=$E6),IF(OR($H6&gt;=1,AND($H6&gt;0,AU$4+3&lt;$E6+($G6-$E6+1)*$H6)),2,1),IF(AND(Suivi&gt;=AU$4,Suivi&lt;AU$4+7),3,0))</f>
        <v/>
      </c>
      <c r="AV6" s="40">
        <f>IF(AND(AV$4&lt;=$G6,AV$4+6&gt;=$E6),IF(OR($H6&gt;=1,AND($H6&gt;0,AV$4+3&lt;$E6+($G6-$E6+1)*$H6)),2,1),IF(AND(Suivi&gt;=AV$4,Suivi&lt;AV$4+7),3,0))</f>
        <v/>
      </c>
      <c r="AW6" s="40">
        <f>IF(AND(AW$4&lt;=$G6,AW$4+6&gt;=$E6),IF(OR($H6&gt;=1,AND($H6&gt;0,AW$4+3&lt;$E6+($G6-$E6+1)*$H6)),2,1),IF(AND(Suivi&gt;=AW$4,Suivi&lt;AW$4+7),3,0))</f>
        <v/>
      </c>
      <c r="AX6" s="40">
        <f>IF(AND(AX$4&lt;=$G6,AX$4+6&gt;=$E6),IF(OR($H6&gt;=1,AND($H6&gt;0,AX$4+3&lt;$E6+($G6-$E6+1)*$H6)),2,1),IF(AND(Suivi&gt;=AX$4,Suivi&lt;AX$4+7),3,0))</f>
        <v/>
      </c>
      <c r="AY6" s="40">
        <f>IF(AND(AY$4&lt;=$G6,AY$4+6&gt;=$E6),IF(OR($H6&gt;=1,AND($H6&gt;0,AY$4+3&lt;$E6+($G6-$E6+1)*$H6)),2,1),IF(AND(Suivi&gt;=AY$4,Suivi&lt;AY$4+7),3,0))</f>
        <v/>
      </c>
      <c r="AZ6" s="40">
        <f>IF(AND(AZ$4&lt;=$G6,AZ$4+6&gt;=$E6),IF(OR($H6&gt;=1,AND($H6&gt;0,AZ$4+3&lt;$E6+($G6-$E6+1)*$H6)),2,1),IF(AND(Suivi&gt;=AZ$4,Suivi&lt;AZ$4+7),3,0))</f>
        <v/>
      </c>
      <c r="BA6" s="40">
        <f>IF(AND(BA$4&lt;=$G6,BA$4+6&gt;=$E6),IF(OR($H6&gt;=1,AND($H6&gt;0,BA$4+3&lt;$E6+($G6-$E6+1)*$H6)),2,1),IF(AND(Suivi&gt;=BA$4,Suivi&lt;BA$4+7),3,0))</f>
        <v/>
      </c>
      <c r="BB6" s="40">
        <f>IF(AND(BB$4&lt;=$G6,BB$4+6&gt;=$E6),IF(OR($H6&gt;=1,AND($H6&gt;0,BB$4+3&lt;$E6+($G6-$E6+1)*$H6)),2,1),IF(AND(Suivi&gt;=BB$4,Suivi&lt;BB$4+7),3,0))</f>
        <v/>
      </c>
      <c r="BC6" s="40">
        <f>IF(AND(BC$4&lt;=$G6,BC$4+6&gt;=$E6),IF(OR($H6&gt;=1,AND($H6&gt;0,BC$4+3&lt;$E6+($G6-$E6+1)*$H6)),2,1),IF(AND(Suivi&gt;=BC$4,Suivi&lt;BC$4+7),3,0))</f>
        <v/>
      </c>
      <c r="BD6" s="40">
        <f>IF(AND(BD$4&lt;=$G6,BD$4+6&gt;=$E6),IF(OR($H6&gt;=1,AND($H6&gt;0,BD$4+3&lt;$E6+($G6-$E6+1)*$H6)),2,1),IF(AND(Suivi&gt;=BD$4,Suivi&lt;BD$4+7),3,0))</f>
        <v/>
      </c>
      <c r="BE6" s="40">
        <f>IF(AND(BE$4&lt;=$G6,BE$4+6&gt;=$E6),IF(OR($H6&gt;=1,AND($H6&gt;0,BE$4+3&lt;$E6+($G6-$E6+1)*$H6)),2,1),IF(AND(Suivi&gt;=BE$4,Suivi&lt;BE$4+7),3,0))</f>
        <v/>
      </c>
      <c r="BF6" s="40">
        <f>IF(AND(BF$4&lt;=$G6,BF$4+6&gt;=$E6),IF(OR($H6&gt;=1,AND($H6&gt;0,BF$4+3&lt;$E6+($G6-$E6+1)*$H6)),2,1),IF(AND(Suivi&gt;=BF$4,Suivi&lt;BF$4+7),3,0))</f>
        <v/>
      </c>
      <c r="BG6" s="40">
        <f>IF(AND(BG$4&lt;=$G6,BG$4+6&gt;=$E6),IF(OR($H6&gt;=1,AND($H6&gt;0,BG$4+3&lt;$E6+($G6-$E6+1)*$H6)),2,1),IF(AND(Suivi&gt;=BG$4,Suivi&lt;BG$4+7),3,0))</f>
        <v/>
      </c>
      <c r="BH6" s="40">
        <f>IF(AND(BH$4&lt;=$G6,BH$4+6&gt;=$E6),IF(OR($H6&gt;=1,AND($H6&gt;0,BH$4+3&lt;$E6+($G6-$E6+1)*$H6)),2,1),IF(AND(Suivi&gt;=BH$4,Suivi&lt;BH$4+7),3,0))</f>
        <v/>
      </c>
      <c r="BI6" s="40">
        <f>IF(AND(BI$4&lt;=$G6,BI$4+6&gt;=$E6),IF(OR($H6&gt;=1,AND($H6&gt;0,BI$4+3&lt;$E6+($G6-$E6+1)*$H6)),2,1),IF(AND(Suivi&gt;=BI$4,Suivi&lt;BI$4+7),3,0))</f>
        <v/>
      </c>
      <c r="BJ6" s="40">
        <f>IF(AND(BJ$4&lt;=$G6,BJ$4+6&gt;=$E6),IF(OR($H6&gt;=1,AND($H6&gt;0,BJ$4+3&lt;$E6+($G6-$E6+1)*$H6)),2,1),IF(AND(Suivi&gt;=BJ$4,Suivi&lt;BJ$4+7),3,0))</f>
        <v/>
      </c>
      <c r="BK6" s="40">
        <f>IF(AND(BK$4&lt;=$G6,BK$4+6&gt;=$E6),IF(OR($H6&gt;=1,AND($H6&gt;0,BK$4+3&lt;$E6+($G6-$E6+1)*$H6)),2,1),IF(AND(Suivi&gt;=BK$4,Suivi&lt;BK$4+7),3,0))</f>
        <v/>
      </c>
      <c r="BL6" s="40">
        <f>IF(AND(BL$4&lt;=$G6,BL$4+6&gt;=$E6),IF(OR($H6&gt;=1,AND($H6&gt;0,BL$4+3&lt;$E6+($G6-$E6+1)*$H6)),2,1),IF(AND(Suivi&gt;=BL$4,Suivi&lt;BL$4+7),3,0))</f>
        <v/>
      </c>
      <c r="BM6" s="40">
        <f>IF(AND(BM$4&lt;=$G6,BM$4+6&gt;=$E6),IF(OR($H6&gt;=1,AND($H6&gt;0,BM$4+3&lt;$E6+($G6-$E6+1)*$H6)),2,1),IF(AND(Suivi&gt;=BM$4,Suivi&lt;BM$4+7),3,0))</f>
        <v/>
      </c>
      <c r="BN6" s="40">
        <f>IF(AND(BN$4&lt;=$G6,BN$4+6&gt;=$E6),IF(OR($H6&gt;=1,AND($H6&gt;0,BN$4+3&lt;$E6+($G6-$E6+1)*$H6)),2,1),IF(AND(Suivi&gt;=BN$4,Suivi&lt;BN$4+7),3,0))</f>
        <v/>
      </c>
      <c r="BO6" s="40">
        <f>IF(AND(BO$4&lt;=$G6,BO$4+6&gt;=$E6),IF(OR($H6&gt;=1,AND($H6&gt;0,BO$4+3&lt;$E6+($G6-$E6+1)*$H6)),2,1),IF(AND(Suivi&gt;=BO$4,Suivi&lt;BO$4+7),3,0))</f>
        <v/>
      </c>
    </row>
    <row r="7" ht="20" customHeight="1">
      <c r="A7" s="36" t="n">
        <v>3</v>
      </c>
      <c r="B7" s="36" t="inlineStr">
        <is>
          <t>تهيئة الأرضية والحفر</t>
        </is>
      </c>
      <c r="C7" s="36" t="inlineStr">
        <is>
          <t>أشغال كبرى</t>
        </is>
      </c>
      <c r="D7" s="36" t="inlineStr">
        <is>
          <t>فريق الأشغال الكبرى</t>
        </is>
      </c>
      <c r="E7" s="37" t="n">
        <v>46149</v>
      </c>
      <c r="F7" s="36" t="n">
        <v>12</v>
      </c>
      <c r="G7" s="37">
        <f>WORKDAY.INTL(E7,F7-1,Repos)</f>
        <v/>
      </c>
      <c r="H7" s="38" t="n">
        <v>1</v>
      </c>
      <c r="I7" s="36">
        <f>IF(H7&gt;=1,"مكتملة",IF(AND(Suivi&gt;G7,H7&lt;1),"متأخرة",IF(Suivi&lt;E7,"لم تبدأ",IF(H7+0.15&lt;(Suivi-E7)/MAX(1,G7-E7),"تحتاج متابعة","جارية"))))</f>
        <v/>
      </c>
      <c r="J7" s="39" t="n">
        <v>780000</v>
      </c>
      <c r="L7" s="40">
        <f>IF(AND(L$4&lt;=$G7,L$4+6&gt;=$E7),IF(OR($H7&gt;=1,AND($H7&gt;0,L$4+3&lt;$E7+($G7-$E7+1)*$H7)),2,1),IF(AND(Suivi&gt;=L$4,Suivi&lt;L$4+7),3,0))</f>
        <v/>
      </c>
      <c r="M7" s="40">
        <f>IF(AND(M$4&lt;=$G7,M$4+6&gt;=$E7),IF(OR($H7&gt;=1,AND($H7&gt;0,M$4+3&lt;$E7+($G7-$E7+1)*$H7)),2,1),IF(AND(Suivi&gt;=M$4,Suivi&lt;M$4+7),3,0))</f>
        <v/>
      </c>
      <c r="N7" s="40">
        <f>IF(AND(N$4&lt;=$G7,N$4+6&gt;=$E7),IF(OR($H7&gt;=1,AND($H7&gt;0,N$4+3&lt;$E7+($G7-$E7+1)*$H7)),2,1),IF(AND(Suivi&gt;=N$4,Suivi&lt;N$4+7),3,0))</f>
        <v/>
      </c>
      <c r="O7" s="40">
        <f>IF(AND(O$4&lt;=$G7,O$4+6&gt;=$E7),IF(OR($H7&gt;=1,AND($H7&gt;0,O$4+3&lt;$E7+($G7-$E7+1)*$H7)),2,1),IF(AND(Suivi&gt;=O$4,Suivi&lt;O$4+7),3,0))</f>
        <v/>
      </c>
      <c r="P7" s="40">
        <f>IF(AND(P$4&lt;=$G7,P$4+6&gt;=$E7),IF(OR($H7&gt;=1,AND($H7&gt;0,P$4+3&lt;$E7+($G7-$E7+1)*$H7)),2,1),IF(AND(Suivi&gt;=P$4,Suivi&lt;P$4+7),3,0))</f>
        <v/>
      </c>
      <c r="Q7" s="40">
        <f>IF(AND(Q$4&lt;=$G7,Q$4+6&gt;=$E7),IF(OR($H7&gt;=1,AND($H7&gt;0,Q$4+3&lt;$E7+($G7-$E7+1)*$H7)),2,1),IF(AND(Suivi&gt;=Q$4,Suivi&lt;Q$4+7),3,0))</f>
        <v/>
      </c>
      <c r="R7" s="40">
        <f>IF(AND(R$4&lt;=$G7,R$4+6&gt;=$E7),IF(OR($H7&gt;=1,AND($H7&gt;0,R$4+3&lt;$E7+($G7-$E7+1)*$H7)),2,1),IF(AND(Suivi&gt;=R$4,Suivi&lt;R$4+7),3,0))</f>
        <v/>
      </c>
      <c r="S7" s="40">
        <f>IF(AND(S$4&lt;=$G7,S$4+6&gt;=$E7),IF(OR($H7&gt;=1,AND($H7&gt;0,S$4+3&lt;$E7+($G7-$E7+1)*$H7)),2,1),IF(AND(Suivi&gt;=S$4,Suivi&lt;S$4+7),3,0))</f>
        <v/>
      </c>
      <c r="T7" s="40">
        <f>IF(AND(T$4&lt;=$G7,T$4+6&gt;=$E7),IF(OR($H7&gt;=1,AND($H7&gt;0,T$4+3&lt;$E7+($G7-$E7+1)*$H7)),2,1),IF(AND(Suivi&gt;=T$4,Suivi&lt;T$4+7),3,0))</f>
        <v/>
      </c>
      <c r="U7" s="40">
        <f>IF(AND(U$4&lt;=$G7,U$4+6&gt;=$E7),IF(OR($H7&gt;=1,AND($H7&gt;0,U$4+3&lt;$E7+($G7-$E7+1)*$H7)),2,1),IF(AND(Suivi&gt;=U$4,Suivi&lt;U$4+7),3,0))</f>
        <v/>
      </c>
      <c r="V7" s="40">
        <f>IF(AND(V$4&lt;=$G7,V$4+6&gt;=$E7),IF(OR($H7&gt;=1,AND($H7&gt;0,V$4+3&lt;$E7+($G7-$E7+1)*$H7)),2,1),IF(AND(Suivi&gt;=V$4,Suivi&lt;V$4+7),3,0))</f>
        <v/>
      </c>
      <c r="W7" s="40">
        <f>IF(AND(W$4&lt;=$G7,W$4+6&gt;=$E7),IF(OR($H7&gt;=1,AND($H7&gt;0,W$4+3&lt;$E7+($G7-$E7+1)*$H7)),2,1),IF(AND(Suivi&gt;=W$4,Suivi&lt;W$4+7),3,0))</f>
        <v/>
      </c>
      <c r="X7" s="40">
        <f>IF(AND(X$4&lt;=$G7,X$4+6&gt;=$E7),IF(OR($H7&gt;=1,AND($H7&gt;0,X$4+3&lt;$E7+($G7-$E7+1)*$H7)),2,1),IF(AND(Suivi&gt;=X$4,Suivi&lt;X$4+7),3,0))</f>
        <v/>
      </c>
      <c r="Y7" s="40">
        <f>IF(AND(Y$4&lt;=$G7,Y$4+6&gt;=$E7),IF(OR($H7&gt;=1,AND($H7&gt;0,Y$4+3&lt;$E7+($G7-$E7+1)*$H7)),2,1),IF(AND(Suivi&gt;=Y$4,Suivi&lt;Y$4+7),3,0))</f>
        <v/>
      </c>
      <c r="Z7" s="40">
        <f>IF(AND(Z$4&lt;=$G7,Z$4+6&gt;=$E7),IF(OR($H7&gt;=1,AND($H7&gt;0,Z$4+3&lt;$E7+($G7-$E7+1)*$H7)),2,1),IF(AND(Suivi&gt;=Z$4,Suivi&lt;Z$4+7),3,0))</f>
        <v/>
      </c>
      <c r="AA7" s="40">
        <f>IF(AND(AA$4&lt;=$G7,AA$4+6&gt;=$E7),IF(OR($H7&gt;=1,AND($H7&gt;0,AA$4+3&lt;$E7+($G7-$E7+1)*$H7)),2,1),IF(AND(Suivi&gt;=AA$4,Suivi&lt;AA$4+7),3,0))</f>
        <v/>
      </c>
      <c r="AB7" s="40">
        <f>IF(AND(AB$4&lt;=$G7,AB$4+6&gt;=$E7),IF(OR($H7&gt;=1,AND($H7&gt;0,AB$4+3&lt;$E7+($G7-$E7+1)*$H7)),2,1),IF(AND(Suivi&gt;=AB$4,Suivi&lt;AB$4+7),3,0))</f>
        <v/>
      </c>
      <c r="AC7" s="40">
        <f>IF(AND(AC$4&lt;=$G7,AC$4+6&gt;=$E7),IF(OR($H7&gt;=1,AND($H7&gt;0,AC$4+3&lt;$E7+($G7-$E7+1)*$H7)),2,1),IF(AND(Suivi&gt;=AC$4,Suivi&lt;AC$4+7),3,0))</f>
        <v/>
      </c>
      <c r="AD7" s="40">
        <f>IF(AND(AD$4&lt;=$G7,AD$4+6&gt;=$E7),IF(OR($H7&gt;=1,AND($H7&gt;0,AD$4+3&lt;$E7+($G7-$E7+1)*$H7)),2,1),IF(AND(Suivi&gt;=AD$4,Suivi&lt;AD$4+7),3,0))</f>
        <v/>
      </c>
      <c r="AE7" s="40">
        <f>IF(AND(AE$4&lt;=$G7,AE$4+6&gt;=$E7),IF(OR($H7&gt;=1,AND($H7&gt;0,AE$4+3&lt;$E7+($G7-$E7+1)*$H7)),2,1),IF(AND(Suivi&gt;=AE$4,Suivi&lt;AE$4+7),3,0))</f>
        <v/>
      </c>
      <c r="AF7" s="40">
        <f>IF(AND(AF$4&lt;=$G7,AF$4+6&gt;=$E7),IF(OR($H7&gt;=1,AND($H7&gt;0,AF$4+3&lt;$E7+($G7-$E7+1)*$H7)),2,1),IF(AND(Suivi&gt;=AF$4,Suivi&lt;AF$4+7),3,0))</f>
        <v/>
      </c>
      <c r="AG7" s="40">
        <f>IF(AND(AG$4&lt;=$G7,AG$4+6&gt;=$E7),IF(OR($H7&gt;=1,AND($H7&gt;0,AG$4+3&lt;$E7+($G7-$E7+1)*$H7)),2,1),IF(AND(Suivi&gt;=AG$4,Suivi&lt;AG$4+7),3,0))</f>
        <v/>
      </c>
      <c r="AH7" s="40">
        <f>IF(AND(AH$4&lt;=$G7,AH$4+6&gt;=$E7),IF(OR($H7&gt;=1,AND($H7&gt;0,AH$4+3&lt;$E7+($G7-$E7+1)*$H7)),2,1),IF(AND(Suivi&gt;=AH$4,Suivi&lt;AH$4+7),3,0))</f>
        <v/>
      </c>
      <c r="AI7" s="40">
        <f>IF(AND(AI$4&lt;=$G7,AI$4+6&gt;=$E7),IF(OR($H7&gt;=1,AND($H7&gt;0,AI$4+3&lt;$E7+($G7-$E7+1)*$H7)),2,1),IF(AND(Suivi&gt;=AI$4,Suivi&lt;AI$4+7),3,0))</f>
        <v/>
      </c>
      <c r="AJ7" s="40">
        <f>IF(AND(AJ$4&lt;=$G7,AJ$4+6&gt;=$E7),IF(OR($H7&gt;=1,AND($H7&gt;0,AJ$4+3&lt;$E7+($G7-$E7+1)*$H7)),2,1),IF(AND(Suivi&gt;=AJ$4,Suivi&lt;AJ$4+7),3,0))</f>
        <v/>
      </c>
      <c r="AK7" s="40">
        <f>IF(AND(AK$4&lt;=$G7,AK$4+6&gt;=$E7),IF(OR($H7&gt;=1,AND($H7&gt;0,AK$4+3&lt;$E7+($G7-$E7+1)*$H7)),2,1),IF(AND(Suivi&gt;=AK$4,Suivi&lt;AK$4+7),3,0))</f>
        <v/>
      </c>
      <c r="AL7" s="40">
        <f>IF(AND(AL$4&lt;=$G7,AL$4+6&gt;=$E7),IF(OR($H7&gt;=1,AND($H7&gt;0,AL$4+3&lt;$E7+($G7-$E7+1)*$H7)),2,1),IF(AND(Suivi&gt;=AL$4,Suivi&lt;AL$4+7),3,0))</f>
        <v/>
      </c>
      <c r="AM7" s="40">
        <f>IF(AND(AM$4&lt;=$G7,AM$4+6&gt;=$E7),IF(OR($H7&gt;=1,AND($H7&gt;0,AM$4+3&lt;$E7+($G7-$E7+1)*$H7)),2,1),IF(AND(Suivi&gt;=AM$4,Suivi&lt;AM$4+7),3,0))</f>
        <v/>
      </c>
      <c r="AN7" s="40">
        <f>IF(AND(AN$4&lt;=$G7,AN$4+6&gt;=$E7),IF(OR($H7&gt;=1,AND($H7&gt;0,AN$4+3&lt;$E7+($G7-$E7+1)*$H7)),2,1),IF(AND(Suivi&gt;=AN$4,Suivi&lt;AN$4+7),3,0))</f>
        <v/>
      </c>
      <c r="AO7" s="40">
        <f>IF(AND(AO$4&lt;=$G7,AO$4+6&gt;=$E7),IF(OR($H7&gt;=1,AND($H7&gt;0,AO$4+3&lt;$E7+($G7-$E7+1)*$H7)),2,1),IF(AND(Suivi&gt;=AO$4,Suivi&lt;AO$4+7),3,0))</f>
        <v/>
      </c>
      <c r="AP7" s="40">
        <f>IF(AND(AP$4&lt;=$G7,AP$4+6&gt;=$E7),IF(OR($H7&gt;=1,AND($H7&gt;0,AP$4+3&lt;$E7+($G7-$E7+1)*$H7)),2,1),IF(AND(Suivi&gt;=AP$4,Suivi&lt;AP$4+7),3,0))</f>
        <v/>
      </c>
      <c r="AQ7" s="40">
        <f>IF(AND(AQ$4&lt;=$G7,AQ$4+6&gt;=$E7),IF(OR($H7&gt;=1,AND($H7&gt;0,AQ$4+3&lt;$E7+($G7-$E7+1)*$H7)),2,1),IF(AND(Suivi&gt;=AQ$4,Suivi&lt;AQ$4+7),3,0))</f>
        <v/>
      </c>
      <c r="AR7" s="40">
        <f>IF(AND(AR$4&lt;=$G7,AR$4+6&gt;=$E7),IF(OR($H7&gt;=1,AND($H7&gt;0,AR$4+3&lt;$E7+($G7-$E7+1)*$H7)),2,1),IF(AND(Suivi&gt;=AR$4,Suivi&lt;AR$4+7),3,0))</f>
        <v/>
      </c>
      <c r="AS7" s="40">
        <f>IF(AND(AS$4&lt;=$G7,AS$4+6&gt;=$E7),IF(OR($H7&gt;=1,AND($H7&gt;0,AS$4+3&lt;$E7+($G7-$E7+1)*$H7)),2,1),IF(AND(Suivi&gt;=AS$4,Suivi&lt;AS$4+7),3,0))</f>
        <v/>
      </c>
      <c r="AT7" s="40">
        <f>IF(AND(AT$4&lt;=$G7,AT$4+6&gt;=$E7),IF(OR($H7&gt;=1,AND($H7&gt;0,AT$4+3&lt;$E7+($G7-$E7+1)*$H7)),2,1),IF(AND(Suivi&gt;=AT$4,Suivi&lt;AT$4+7),3,0))</f>
        <v/>
      </c>
      <c r="AU7" s="40">
        <f>IF(AND(AU$4&lt;=$G7,AU$4+6&gt;=$E7),IF(OR($H7&gt;=1,AND($H7&gt;0,AU$4+3&lt;$E7+($G7-$E7+1)*$H7)),2,1),IF(AND(Suivi&gt;=AU$4,Suivi&lt;AU$4+7),3,0))</f>
        <v/>
      </c>
      <c r="AV7" s="40">
        <f>IF(AND(AV$4&lt;=$G7,AV$4+6&gt;=$E7),IF(OR($H7&gt;=1,AND($H7&gt;0,AV$4+3&lt;$E7+($G7-$E7+1)*$H7)),2,1),IF(AND(Suivi&gt;=AV$4,Suivi&lt;AV$4+7),3,0))</f>
        <v/>
      </c>
      <c r="AW7" s="40">
        <f>IF(AND(AW$4&lt;=$G7,AW$4+6&gt;=$E7),IF(OR($H7&gt;=1,AND($H7&gt;0,AW$4+3&lt;$E7+($G7-$E7+1)*$H7)),2,1),IF(AND(Suivi&gt;=AW$4,Suivi&lt;AW$4+7),3,0))</f>
        <v/>
      </c>
      <c r="AX7" s="40">
        <f>IF(AND(AX$4&lt;=$G7,AX$4+6&gt;=$E7),IF(OR($H7&gt;=1,AND($H7&gt;0,AX$4+3&lt;$E7+($G7-$E7+1)*$H7)),2,1),IF(AND(Suivi&gt;=AX$4,Suivi&lt;AX$4+7),3,0))</f>
        <v/>
      </c>
      <c r="AY7" s="40">
        <f>IF(AND(AY$4&lt;=$G7,AY$4+6&gt;=$E7),IF(OR($H7&gt;=1,AND($H7&gt;0,AY$4+3&lt;$E7+($G7-$E7+1)*$H7)),2,1),IF(AND(Suivi&gt;=AY$4,Suivi&lt;AY$4+7),3,0))</f>
        <v/>
      </c>
      <c r="AZ7" s="40">
        <f>IF(AND(AZ$4&lt;=$G7,AZ$4+6&gt;=$E7),IF(OR($H7&gt;=1,AND($H7&gt;0,AZ$4+3&lt;$E7+($G7-$E7+1)*$H7)),2,1),IF(AND(Suivi&gt;=AZ$4,Suivi&lt;AZ$4+7),3,0))</f>
        <v/>
      </c>
      <c r="BA7" s="40">
        <f>IF(AND(BA$4&lt;=$G7,BA$4+6&gt;=$E7),IF(OR($H7&gt;=1,AND($H7&gt;0,BA$4+3&lt;$E7+($G7-$E7+1)*$H7)),2,1),IF(AND(Suivi&gt;=BA$4,Suivi&lt;BA$4+7),3,0))</f>
        <v/>
      </c>
      <c r="BB7" s="40">
        <f>IF(AND(BB$4&lt;=$G7,BB$4+6&gt;=$E7),IF(OR($H7&gt;=1,AND($H7&gt;0,BB$4+3&lt;$E7+($G7-$E7+1)*$H7)),2,1),IF(AND(Suivi&gt;=BB$4,Suivi&lt;BB$4+7),3,0))</f>
        <v/>
      </c>
      <c r="BC7" s="40">
        <f>IF(AND(BC$4&lt;=$G7,BC$4+6&gt;=$E7),IF(OR($H7&gt;=1,AND($H7&gt;0,BC$4+3&lt;$E7+($G7-$E7+1)*$H7)),2,1),IF(AND(Suivi&gt;=BC$4,Suivi&lt;BC$4+7),3,0))</f>
        <v/>
      </c>
      <c r="BD7" s="40">
        <f>IF(AND(BD$4&lt;=$G7,BD$4+6&gt;=$E7),IF(OR($H7&gt;=1,AND($H7&gt;0,BD$4+3&lt;$E7+($G7-$E7+1)*$H7)),2,1),IF(AND(Suivi&gt;=BD$4,Suivi&lt;BD$4+7),3,0))</f>
        <v/>
      </c>
      <c r="BE7" s="40">
        <f>IF(AND(BE$4&lt;=$G7,BE$4+6&gt;=$E7),IF(OR($H7&gt;=1,AND($H7&gt;0,BE$4+3&lt;$E7+($G7-$E7+1)*$H7)),2,1),IF(AND(Suivi&gt;=BE$4,Suivi&lt;BE$4+7),3,0))</f>
        <v/>
      </c>
      <c r="BF7" s="40">
        <f>IF(AND(BF$4&lt;=$G7,BF$4+6&gt;=$E7),IF(OR($H7&gt;=1,AND($H7&gt;0,BF$4+3&lt;$E7+($G7-$E7+1)*$H7)),2,1),IF(AND(Suivi&gt;=BF$4,Suivi&lt;BF$4+7),3,0))</f>
        <v/>
      </c>
      <c r="BG7" s="40">
        <f>IF(AND(BG$4&lt;=$G7,BG$4+6&gt;=$E7),IF(OR($H7&gt;=1,AND($H7&gt;0,BG$4+3&lt;$E7+($G7-$E7+1)*$H7)),2,1),IF(AND(Suivi&gt;=BG$4,Suivi&lt;BG$4+7),3,0))</f>
        <v/>
      </c>
      <c r="BH7" s="40">
        <f>IF(AND(BH$4&lt;=$G7,BH$4+6&gt;=$E7),IF(OR($H7&gt;=1,AND($H7&gt;0,BH$4+3&lt;$E7+($G7-$E7+1)*$H7)),2,1),IF(AND(Suivi&gt;=BH$4,Suivi&lt;BH$4+7),3,0))</f>
        <v/>
      </c>
      <c r="BI7" s="40">
        <f>IF(AND(BI$4&lt;=$G7,BI$4+6&gt;=$E7),IF(OR($H7&gt;=1,AND($H7&gt;0,BI$4+3&lt;$E7+($G7-$E7+1)*$H7)),2,1),IF(AND(Suivi&gt;=BI$4,Suivi&lt;BI$4+7),3,0))</f>
        <v/>
      </c>
      <c r="BJ7" s="40">
        <f>IF(AND(BJ$4&lt;=$G7,BJ$4+6&gt;=$E7),IF(OR($H7&gt;=1,AND($H7&gt;0,BJ$4+3&lt;$E7+($G7-$E7+1)*$H7)),2,1),IF(AND(Suivi&gt;=BJ$4,Suivi&lt;BJ$4+7),3,0))</f>
        <v/>
      </c>
      <c r="BK7" s="40">
        <f>IF(AND(BK$4&lt;=$G7,BK$4+6&gt;=$E7),IF(OR($H7&gt;=1,AND($H7&gt;0,BK$4+3&lt;$E7+($G7-$E7+1)*$H7)),2,1),IF(AND(Suivi&gt;=BK$4,Suivi&lt;BK$4+7),3,0))</f>
        <v/>
      </c>
      <c r="BL7" s="40">
        <f>IF(AND(BL$4&lt;=$G7,BL$4+6&gt;=$E7),IF(OR($H7&gt;=1,AND($H7&gt;0,BL$4+3&lt;$E7+($G7-$E7+1)*$H7)),2,1),IF(AND(Suivi&gt;=BL$4,Suivi&lt;BL$4+7),3,0))</f>
        <v/>
      </c>
      <c r="BM7" s="40">
        <f>IF(AND(BM$4&lt;=$G7,BM$4+6&gt;=$E7),IF(OR($H7&gt;=1,AND($H7&gt;0,BM$4+3&lt;$E7+($G7-$E7+1)*$H7)),2,1),IF(AND(Suivi&gt;=BM$4,Suivi&lt;BM$4+7),3,0))</f>
        <v/>
      </c>
      <c r="BN7" s="40">
        <f>IF(AND(BN$4&lt;=$G7,BN$4+6&gt;=$E7),IF(OR($H7&gt;=1,AND($H7&gt;0,BN$4+3&lt;$E7+($G7-$E7+1)*$H7)),2,1),IF(AND(Suivi&gt;=BN$4,Suivi&lt;BN$4+7),3,0))</f>
        <v/>
      </c>
      <c r="BO7" s="40">
        <f>IF(AND(BO$4&lt;=$G7,BO$4+6&gt;=$E7),IF(OR($H7&gt;=1,AND($H7&gt;0,BO$4+3&lt;$E7+($G7-$E7+1)*$H7)),2,1),IF(AND(Suivi&gt;=BO$4,Suivi&lt;BO$4+7),3,0))</f>
        <v/>
      </c>
    </row>
    <row r="8" ht="20" customHeight="1">
      <c r="A8" s="36" t="n">
        <v>4</v>
      </c>
      <c r="B8" s="36" t="inlineStr">
        <is>
          <t>الأساسات والقواعد</t>
        </is>
      </c>
      <c r="C8" s="36" t="inlineStr">
        <is>
          <t>أشغال كبرى</t>
        </is>
      </c>
      <c r="D8" s="36" t="inlineStr">
        <is>
          <t>فريق الأشغال الكبرى</t>
        </is>
      </c>
      <c r="E8" s="37" t="n">
        <v>46163</v>
      </c>
      <c r="F8" s="36" t="n">
        <v>22</v>
      </c>
      <c r="G8" s="37">
        <f>WORKDAY.INTL(E8,F8-1,Repos)</f>
        <v/>
      </c>
      <c r="H8" s="38" t="n">
        <v>1</v>
      </c>
      <c r="I8" s="36">
        <f>IF(H8&gt;=1,"مكتملة",IF(AND(Suivi&gt;G8,H8&lt;1),"متأخرة",IF(Suivi&lt;E8,"لم تبدأ",IF(H8+0.15&lt;(Suivi-E8)/MAX(1,G8-E8),"تحتاج متابعة","جارية"))))</f>
        <v/>
      </c>
      <c r="J8" s="39" t="n">
        <v>2600000</v>
      </c>
      <c r="L8" s="40">
        <f>IF(AND(L$4&lt;=$G8,L$4+6&gt;=$E8),IF(OR($H8&gt;=1,AND($H8&gt;0,L$4+3&lt;$E8+($G8-$E8+1)*$H8)),2,1),IF(AND(Suivi&gt;=L$4,Suivi&lt;L$4+7),3,0))</f>
        <v/>
      </c>
      <c r="M8" s="40">
        <f>IF(AND(M$4&lt;=$G8,M$4+6&gt;=$E8),IF(OR($H8&gt;=1,AND($H8&gt;0,M$4+3&lt;$E8+($G8-$E8+1)*$H8)),2,1),IF(AND(Suivi&gt;=M$4,Suivi&lt;M$4+7),3,0))</f>
        <v/>
      </c>
      <c r="N8" s="40">
        <f>IF(AND(N$4&lt;=$G8,N$4+6&gt;=$E8),IF(OR($H8&gt;=1,AND($H8&gt;0,N$4+3&lt;$E8+($G8-$E8+1)*$H8)),2,1),IF(AND(Suivi&gt;=N$4,Suivi&lt;N$4+7),3,0))</f>
        <v/>
      </c>
      <c r="O8" s="40">
        <f>IF(AND(O$4&lt;=$G8,O$4+6&gt;=$E8),IF(OR($H8&gt;=1,AND($H8&gt;0,O$4+3&lt;$E8+($G8-$E8+1)*$H8)),2,1),IF(AND(Suivi&gt;=O$4,Suivi&lt;O$4+7),3,0))</f>
        <v/>
      </c>
      <c r="P8" s="40">
        <f>IF(AND(P$4&lt;=$G8,P$4+6&gt;=$E8),IF(OR($H8&gt;=1,AND($H8&gt;0,P$4+3&lt;$E8+($G8-$E8+1)*$H8)),2,1),IF(AND(Suivi&gt;=P$4,Suivi&lt;P$4+7),3,0))</f>
        <v/>
      </c>
      <c r="Q8" s="40">
        <f>IF(AND(Q$4&lt;=$G8,Q$4+6&gt;=$E8),IF(OR($H8&gt;=1,AND($H8&gt;0,Q$4+3&lt;$E8+($G8-$E8+1)*$H8)),2,1),IF(AND(Suivi&gt;=Q$4,Suivi&lt;Q$4+7),3,0))</f>
        <v/>
      </c>
      <c r="R8" s="40">
        <f>IF(AND(R$4&lt;=$G8,R$4+6&gt;=$E8),IF(OR($H8&gt;=1,AND($H8&gt;0,R$4+3&lt;$E8+($G8-$E8+1)*$H8)),2,1),IF(AND(Suivi&gt;=R$4,Suivi&lt;R$4+7),3,0))</f>
        <v/>
      </c>
      <c r="S8" s="40">
        <f>IF(AND(S$4&lt;=$G8,S$4+6&gt;=$E8),IF(OR($H8&gt;=1,AND($H8&gt;0,S$4+3&lt;$E8+($G8-$E8+1)*$H8)),2,1),IF(AND(Suivi&gt;=S$4,Suivi&lt;S$4+7),3,0))</f>
        <v/>
      </c>
      <c r="T8" s="40">
        <f>IF(AND(T$4&lt;=$G8,T$4+6&gt;=$E8),IF(OR($H8&gt;=1,AND($H8&gt;0,T$4+3&lt;$E8+($G8-$E8+1)*$H8)),2,1),IF(AND(Suivi&gt;=T$4,Suivi&lt;T$4+7),3,0))</f>
        <v/>
      </c>
      <c r="U8" s="40">
        <f>IF(AND(U$4&lt;=$G8,U$4+6&gt;=$E8),IF(OR($H8&gt;=1,AND($H8&gt;0,U$4+3&lt;$E8+($G8-$E8+1)*$H8)),2,1),IF(AND(Suivi&gt;=U$4,Suivi&lt;U$4+7),3,0))</f>
        <v/>
      </c>
      <c r="V8" s="40">
        <f>IF(AND(V$4&lt;=$G8,V$4+6&gt;=$E8),IF(OR($H8&gt;=1,AND($H8&gt;0,V$4+3&lt;$E8+($G8-$E8+1)*$H8)),2,1),IF(AND(Suivi&gt;=V$4,Suivi&lt;V$4+7),3,0))</f>
        <v/>
      </c>
      <c r="W8" s="40">
        <f>IF(AND(W$4&lt;=$G8,W$4+6&gt;=$E8),IF(OR($H8&gt;=1,AND($H8&gt;0,W$4+3&lt;$E8+($G8-$E8+1)*$H8)),2,1),IF(AND(Suivi&gt;=W$4,Suivi&lt;W$4+7),3,0))</f>
        <v/>
      </c>
      <c r="X8" s="40">
        <f>IF(AND(X$4&lt;=$G8,X$4+6&gt;=$E8),IF(OR($H8&gt;=1,AND($H8&gt;0,X$4+3&lt;$E8+($G8-$E8+1)*$H8)),2,1),IF(AND(Suivi&gt;=X$4,Suivi&lt;X$4+7),3,0))</f>
        <v/>
      </c>
      <c r="Y8" s="40">
        <f>IF(AND(Y$4&lt;=$G8,Y$4+6&gt;=$E8),IF(OR($H8&gt;=1,AND($H8&gt;0,Y$4+3&lt;$E8+($G8-$E8+1)*$H8)),2,1),IF(AND(Suivi&gt;=Y$4,Suivi&lt;Y$4+7),3,0))</f>
        <v/>
      </c>
      <c r="Z8" s="40">
        <f>IF(AND(Z$4&lt;=$G8,Z$4+6&gt;=$E8),IF(OR($H8&gt;=1,AND($H8&gt;0,Z$4+3&lt;$E8+($G8-$E8+1)*$H8)),2,1),IF(AND(Suivi&gt;=Z$4,Suivi&lt;Z$4+7),3,0))</f>
        <v/>
      </c>
      <c r="AA8" s="40">
        <f>IF(AND(AA$4&lt;=$G8,AA$4+6&gt;=$E8),IF(OR($H8&gt;=1,AND($H8&gt;0,AA$4+3&lt;$E8+($G8-$E8+1)*$H8)),2,1),IF(AND(Suivi&gt;=AA$4,Suivi&lt;AA$4+7),3,0))</f>
        <v/>
      </c>
      <c r="AB8" s="40">
        <f>IF(AND(AB$4&lt;=$G8,AB$4+6&gt;=$E8),IF(OR($H8&gt;=1,AND($H8&gt;0,AB$4+3&lt;$E8+($G8-$E8+1)*$H8)),2,1),IF(AND(Suivi&gt;=AB$4,Suivi&lt;AB$4+7),3,0))</f>
        <v/>
      </c>
      <c r="AC8" s="40">
        <f>IF(AND(AC$4&lt;=$G8,AC$4+6&gt;=$E8),IF(OR($H8&gt;=1,AND($H8&gt;0,AC$4+3&lt;$E8+($G8-$E8+1)*$H8)),2,1),IF(AND(Suivi&gt;=AC$4,Suivi&lt;AC$4+7),3,0))</f>
        <v/>
      </c>
      <c r="AD8" s="40">
        <f>IF(AND(AD$4&lt;=$G8,AD$4+6&gt;=$E8),IF(OR($H8&gt;=1,AND($H8&gt;0,AD$4+3&lt;$E8+($G8-$E8+1)*$H8)),2,1),IF(AND(Suivi&gt;=AD$4,Suivi&lt;AD$4+7),3,0))</f>
        <v/>
      </c>
      <c r="AE8" s="40">
        <f>IF(AND(AE$4&lt;=$G8,AE$4+6&gt;=$E8),IF(OR($H8&gt;=1,AND($H8&gt;0,AE$4+3&lt;$E8+($G8-$E8+1)*$H8)),2,1),IF(AND(Suivi&gt;=AE$4,Suivi&lt;AE$4+7),3,0))</f>
        <v/>
      </c>
      <c r="AF8" s="40">
        <f>IF(AND(AF$4&lt;=$G8,AF$4+6&gt;=$E8),IF(OR($H8&gt;=1,AND($H8&gt;0,AF$4+3&lt;$E8+($G8-$E8+1)*$H8)),2,1),IF(AND(Suivi&gt;=AF$4,Suivi&lt;AF$4+7),3,0))</f>
        <v/>
      </c>
      <c r="AG8" s="40">
        <f>IF(AND(AG$4&lt;=$G8,AG$4+6&gt;=$E8),IF(OR($H8&gt;=1,AND($H8&gt;0,AG$4+3&lt;$E8+($G8-$E8+1)*$H8)),2,1),IF(AND(Suivi&gt;=AG$4,Suivi&lt;AG$4+7),3,0))</f>
        <v/>
      </c>
      <c r="AH8" s="40">
        <f>IF(AND(AH$4&lt;=$G8,AH$4+6&gt;=$E8),IF(OR($H8&gt;=1,AND($H8&gt;0,AH$4+3&lt;$E8+($G8-$E8+1)*$H8)),2,1),IF(AND(Suivi&gt;=AH$4,Suivi&lt;AH$4+7),3,0))</f>
        <v/>
      </c>
      <c r="AI8" s="40">
        <f>IF(AND(AI$4&lt;=$G8,AI$4+6&gt;=$E8),IF(OR($H8&gt;=1,AND($H8&gt;0,AI$4+3&lt;$E8+($G8-$E8+1)*$H8)),2,1),IF(AND(Suivi&gt;=AI$4,Suivi&lt;AI$4+7),3,0))</f>
        <v/>
      </c>
      <c r="AJ8" s="40">
        <f>IF(AND(AJ$4&lt;=$G8,AJ$4+6&gt;=$E8),IF(OR($H8&gt;=1,AND($H8&gt;0,AJ$4+3&lt;$E8+($G8-$E8+1)*$H8)),2,1),IF(AND(Suivi&gt;=AJ$4,Suivi&lt;AJ$4+7),3,0))</f>
        <v/>
      </c>
      <c r="AK8" s="40">
        <f>IF(AND(AK$4&lt;=$G8,AK$4+6&gt;=$E8),IF(OR($H8&gt;=1,AND($H8&gt;0,AK$4+3&lt;$E8+($G8-$E8+1)*$H8)),2,1),IF(AND(Suivi&gt;=AK$4,Suivi&lt;AK$4+7),3,0))</f>
        <v/>
      </c>
      <c r="AL8" s="40">
        <f>IF(AND(AL$4&lt;=$G8,AL$4+6&gt;=$E8),IF(OR($H8&gt;=1,AND($H8&gt;0,AL$4+3&lt;$E8+($G8-$E8+1)*$H8)),2,1),IF(AND(Suivi&gt;=AL$4,Suivi&lt;AL$4+7),3,0))</f>
        <v/>
      </c>
      <c r="AM8" s="40">
        <f>IF(AND(AM$4&lt;=$G8,AM$4+6&gt;=$E8),IF(OR($H8&gt;=1,AND($H8&gt;0,AM$4+3&lt;$E8+($G8-$E8+1)*$H8)),2,1),IF(AND(Suivi&gt;=AM$4,Suivi&lt;AM$4+7),3,0))</f>
        <v/>
      </c>
      <c r="AN8" s="40">
        <f>IF(AND(AN$4&lt;=$G8,AN$4+6&gt;=$E8),IF(OR($H8&gt;=1,AND($H8&gt;0,AN$4+3&lt;$E8+($G8-$E8+1)*$H8)),2,1),IF(AND(Suivi&gt;=AN$4,Suivi&lt;AN$4+7),3,0))</f>
        <v/>
      </c>
      <c r="AO8" s="40">
        <f>IF(AND(AO$4&lt;=$G8,AO$4+6&gt;=$E8),IF(OR($H8&gt;=1,AND($H8&gt;0,AO$4+3&lt;$E8+($G8-$E8+1)*$H8)),2,1),IF(AND(Suivi&gt;=AO$4,Suivi&lt;AO$4+7),3,0))</f>
        <v/>
      </c>
      <c r="AP8" s="40">
        <f>IF(AND(AP$4&lt;=$G8,AP$4+6&gt;=$E8),IF(OR($H8&gt;=1,AND($H8&gt;0,AP$4+3&lt;$E8+($G8-$E8+1)*$H8)),2,1),IF(AND(Suivi&gt;=AP$4,Suivi&lt;AP$4+7),3,0))</f>
        <v/>
      </c>
      <c r="AQ8" s="40">
        <f>IF(AND(AQ$4&lt;=$G8,AQ$4+6&gt;=$E8),IF(OR($H8&gt;=1,AND($H8&gt;0,AQ$4+3&lt;$E8+($G8-$E8+1)*$H8)),2,1),IF(AND(Suivi&gt;=AQ$4,Suivi&lt;AQ$4+7),3,0))</f>
        <v/>
      </c>
      <c r="AR8" s="40">
        <f>IF(AND(AR$4&lt;=$G8,AR$4+6&gt;=$E8),IF(OR($H8&gt;=1,AND($H8&gt;0,AR$4+3&lt;$E8+($G8-$E8+1)*$H8)),2,1),IF(AND(Suivi&gt;=AR$4,Suivi&lt;AR$4+7),3,0))</f>
        <v/>
      </c>
      <c r="AS8" s="40">
        <f>IF(AND(AS$4&lt;=$G8,AS$4+6&gt;=$E8),IF(OR($H8&gt;=1,AND($H8&gt;0,AS$4+3&lt;$E8+($G8-$E8+1)*$H8)),2,1),IF(AND(Suivi&gt;=AS$4,Suivi&lt;AS$4+7),3,0))</f>
        <v/>
      </c>
      <c r="AT8" s="40">
        <f>IF(AND(AT$4&lt;=$G8,AT$4+6&gt;=$E8),IF(OR($H8&gt;=1,AND($H8&gt;0,AT$4+3&lt;$E8+($G8-$E8+1)*$H8)),2,1),IF(AND(Suivi&gt;=AT$4,Suivi&lt;AT$4+7),3,0))</f>
        <v/>
      </c>
      <c r="AU8" s="40">
        <f>IF(AND(AU$4&lt;=$G8,AU$4+6&gt;=$E8),IF(OR($H8&gt;=1,AND($H8&gt;0,AU$4+3&lt;$E8+($G8-$E8+1)*$H8)),2,1),IF(AND(Suivi&gt;=AU$4,Suivi&lt;AU$4+7),3,0))</f>
        <v/>
      </c>
      <c r="AV8" s="40">
        <f>IF(AND(AV$4&lt;=$G8,AV$4+6&gt;=$E8),IF(OR($H8&gt;=1,AND($H8&gt;0,AV$4+3&lt;$E8+($G8-$E8+1)*$H8)),2,1),IF(AND(Suivi&gt;=AV$4,Suivi&lt;AV$4+7),3,0))</f>
        <v/>
      </c>
      <c r="AW8" s="40">
        <f>IF(AND(AW$4&lt;=$G8,AW$4+6&gt;=$E8),IF(OR($H8&gt;=1,AND($H8&gt;0,AW$4+3&lt;$E8+($G8-$E8+1)*$H8)),2,1),IF(AND(Suivi&gt;=AW$4,Suivi&lt;AW$4+7),3,0))</f>
        <v/>
      </c>
      <c r="AX8" s="40">
        <f>IF(AND(AX$4&lt;=$G8,AX$4+6&gt;=$E8),IF(OR($H8&gt;=1,AND($H8&gt;0,AX$4+3&lt;$E8+($G8-$E8+1)*$H8)),2,1),IF(AND(Suivi&gt;=AX$4,Suivi&lt;AX$4+7),3,0))</f>
        <v/>
      </c>
      <c r="AY8" s="40">
        <f>IF(AND(AY$4&lt;=$G8,AY$4+6&gt;=$E8),IF(OR($H8&gt;=1,AND($H8&gt;0,AY$4+3&lt;$E8+($G8-$E8+1)*$H8)),2,1),IF(AND(Suivi&gt;=AY$4,Suivi&lt;AY$4+7),3,0))</f>
        <v/>
      </c>
      <c r="AZ8" s="40">
        <f>IF(AND(AZ$4&lt;=$G8,AZ$4+6&gt;=$E8),IF(OR($H8&gt;=1,AND($H8&gt;0,AZ$4+3&lt;$E8+($G8-$E8+1)*$H8)),2,1),IF(AND(Suivi&gt;=AZ$4,Suivi&lt;AZ$4+7),3,0))</f>
        <v/>
      </c>
      <c r="BA8" s="40">
        <f>IF(AND(BA$4&lt;=$G8,BA$4+6&gt;=$E8),IF(OR($H8&gt;=1,AND($H8&gt;0,BA$4+3&lt;$E8+($G8-$E8+1)*$H8)),2,1),IF(AND(Suivi&gt;=BA$4,Suivi&lt;BA$4+7),3,0))</f>
        <v/>
      </c>
      <c r="BB8" s="40">
        <f>IF(AND(BB$4&lt;=$G8,BB$4+6&gt;=$E8),IF(OR($H8&gt;=1,AND($H8&gt;0,BB$4+3&lt;$E8+($G8-$E8+1)*$H8)),2,1),IF(AND(Suivi&gt;=BB$4,Suivi&lt;BB$4+7),3,0))</f>
        <v/>
      </c>
      <c r="BC8" s="40">
        <f>IF(AND(BC$4&lt;=$G8,BC$4+6&gt;=$E8),IF(OR($H8&gt;=1,AND($H8&gt;0,BC$4+3&lt;$E8+($G8-$E8+1)*$H8)),2,1),IF(AND(Suivi&gt;=BC$4,Suivi&lt;BC$4+7),3,0))</f>
        <v/>
      </c>
      <c r="BD8" s="40">
        <f>IF(AND(BD$4&lt;=$G8,BD$4+6&gt;=$E8),IF(OR($H8&gt;=1,AND($H8&gt;0,BD$4+3&lt;$E8+($G8-$E8+1)*$H8)),2,1),IF(AND(Suivi&gt;=BD$4,Suivi&lt;BD$4+7),3,0))</f>
        <v/>
      </c>
      <c r="BE8" s="40">
        <f>IF(AND(BE$4&lt;=$G8,BE$4+6&gt;=$E8),IF(OR($H8&gt;=1,AND($H8&gt;0,BE$4+3&lt;$E8+($G8-$E8+1)*$H8)),2,1),IF(AND(Suivi&gt;=BE$4,Suivi&lt;BE$4+7),3,0))</f>
        <v/>
      </c>
      <c r="BF8" s="40">
        <f>IF(AND(BF$4&lt;=$G8,BF$4+6&gt;=$E8),IF(OR($H8&gt;=1,AND($H8&gt;0,BF$4+3&lt;$E8+($G8-$E8+1)*$H8)),2,1),IF(AND(Suivi&gt;=BF$4,Suivi&lt;BF$4+7),3,0))</f>
        <v/>
      </c>
      <c r="BG8" s="40">
        <f>IF(AND(BG$4&lt;=$G8,BG$4+6&gt;=$E8),IF(OR($H8&gt;=1,AND($H8&gt;0,BG$4+3&lt;$E8+($G8-$E8+1)*$H8)),2,1),IF(AND(Suivi&gt;=BG$4,Suivi&lt;BG$4+7),3,0))</f>
        <v/>
      </c>
      <c r="BH8" s="40">
        <f>IF(AND(BH$4&lt;=$G8,BH$4+6&gt;=$E8),IF(OR($H8&gt;=1,AND($H8&gt;0,BH$4+3&lt;$E8+($G8-$E8+1)*$H8)),2,1),IF(AND(Suivi&gt;=BH$4,Suivi&lt;BH$4+7),3,0))</f>
        <v/>
      </c>
      <c r="BI8" s="40">
        <f>IF(AND(BI$4&lt;=$G8,BI$4+6&gt;=$E8),IF(OR($H8&gt;=1,AND($H8&gt;0,BI$4+3&lt;$E8+($G8-$E8+1)*$H8)),2,1),IF(AND(Suivi&gt;=BI$4,Suivi&lt;BI$4+7),3,0))</f>
        <v/>
      </c>
      <c r="BJ8" s="40">
        <f>IF(AND(BJ$4&lt;=$G8,BJ$4+6&gt;=$E8),IF(OR($H8&gt;=1,AND($H8&gt;0,BJ$4+3&lt;$E8+($G8-$E8+1)*$H8)),2,1),IF(AND(Suivi&gt;=BJ$4,Suivi&lt;BJ$4+7),3,0))</f>
        <v/>
      </c>
      <c r="BK8" s="40">
        <f>IF(AND(BK$4&lt;=$G8,BK$4+6&gt;=$E8),IF(OR($H8&gt;=1,AND($H8&gt;0,BK$4+3&lt;$E8+($G8-$E8+1)*$H8)),2,1),IF(AND(Suivi&gt;=BK$4,Suivi&lt;BK$4+7),3,0))</f>
        <v/>
      </c>
      <c r="BL8" s="40">
        <f>IF(AND(BL$4&lt;=$G8,BL$4+6&gt;=$E8),IF(OR($H8&gt;=1,AND($H8&gt;0,BL$4+3&lt;$E8+($G8-$E8+1)*$H8)),2,1),IF(AND(Suivi&gt;=BL$4,Suivi&lt;BL$4+7),3,0))</f>
        <v/>
      </c>
      <c r="BM8" s="40">
        <f>IF(AND(BM$4&lt;=$G8,BM$4+6&gt;=$E8),IF(OR($H8&gt;=1,AND($H8&gt;0,BM$4+3&lt;$E8+($G8-$E8+1)*$H8)),2,1),IF(AND(Suivi&gt;=BM$4,Suivi&lt;BM$4+7),3,0))</f>
        <v/>
      </c>
      <c r="BN8" s="40">
        <f>IF(AND(BN$4&lt;=$G8,BN$4+6&gt;=$E8),IF(OR($H8&gt;=1,AND($H8&gt;0,BN$4+3&lt;$E8+($G8-$E8+1)*$H8)),2,1),IF(AND(Suivi&gt;=BN$4,Suivi&lt;BN$4+7),3,0))</f>
        <v/>
      </c>
      <c r="BO8" s="40">
        <f>IF(AND(BO$4&lt;=$G8,BO$4+6&gt;=$E8),IF(OR($H8&gt;=1,AND($H8&gt;0,BO$4+3&lt;$E8+($G8-$E8+1)*$H8)),2,1),IF(AND(Suivi&gt;=BO$4,Suivi&lt;BO$4+7),3,0))</f>
        <v/>
      </c>
    </row>
    <row r="9" ht="20" customHeight="1">
      <c r="A9" s="36" t="n">
        <v>5</v>
      </c>
      <c r="B9" s="36" t="inlineStr">
        <is>
          <t>هيكل الطابق الأرضي</t>
        </is>
      </c>
      <c r="C9" s="36" t="inlineStr">
        <is>
          <t>أشغال كبرى</t>
        </is>
      </c>
      <c r="D9" s="36" t="inlineStr">
        <is>
          <t>فريق الأشغال الكبرى</t>
        </is>
      </c>
      <c r="E9" s="37" t="n">
        <v>46189</v>
      </c>
      <c r="F9" s="36" t="n">
        <v>27</v>
      </c>
      <c r="G9" s="37">
        <f>WORKDAY.INTL(E9,F9-1,Repos)</f>
        <v/>
      </c>
      <c r="H9" s="38" t="n">
        <v>1</v>
      </c>
      <c r="I9" s="36">
        <f>IF(H9&gt;=1,"مكتملة",IF(AND(Suivi&gt;G9,H9&lt;1),"متأخرة",IF(Suivi&lt;E9,"لم تبدأ",IF(H9+0.15&lt;(Suivi-E9)/MAX(1,G9-E9),"تحتاج متابعة","جارية"))))</f>
        <v/>
      </c>
      <c r="J9" s="39" t="n">
        <v>2900000</v>
      </c>
      <c r="L9" s="40">
        <f>IF(AND(L$4&lt;=$G9,L$4+6&gt;=$E9),IF(OR($H9&gt;=1,AND($H9&gt;0,L$4+3&lt;$E9+($G9-$E9+1)*$H9)),2,1),IF(AND(Suivi&gt;=L$4,Suivi&lt;L$4+7),3,0))</f>
        <v/>
      </c>
      <c r="M9" s="40">
        <f>IF(AND(M$4&lt;=$G9,M$4+6&gt;=$E9),IF(OR($H9&gt;=1,AND($H9&gt;0,M$4+3&lt;$E9+($G9-$E9+1)*$H9)),2,1),IF(AND(Suivi&gt;=M$4,Suivi&lt;M$4+7),3,0))</f>
        <v/>
      </c>
      <c r="N9" s="40">
        <f>IF(AND(N$4&lt;=$G9,N$4+6&gt;=$E9),IF(OR($H9&gt;=1,AND($H9&gt;0,N$4+3&lt;$E9+($G9-$E9+1)*$H9)),2,1),IF(AND(Suivi&gt;=N$4,Suivi&lt;N$4+7),3,0))</f>
        <v/>
      </c>
      <c r="O9" s="40">
        <f>IF(AND(O$4&lt;=$G9,O$4+6&gt;=$E9),IF(OR($H9&gt;=1,AND($H9&gt;0,O$4+3&lt;$E9+($G9-$E9+1)*$H9)),2,1),IF(AND(Suivi&gt;=O$4,Suivi&lt;O$4+7),3,0))</f>
        <v/>
      </c>
      <c r="P9" s="40">
        <f>IF(AND(P$4&lt;=$G9,P$4+6&gt;=$E9),IF(OR($H9&gt;=1,AND($H9&gt;0,P$4+3&lt;$E9+($G9-$E9+1)*$H9)),2,1),IF(AND(Suivi&gt;=P$4,Suivi&lt;P$4+7),3,0))</f>
        <v/>
      </c>
      <c r="Q9" s="40">
        <f>IF(AND(Q$4&lt;=$G9,Q$4+6&gt;=$E9),IF(OR($H9&gt;=1,AND($H9&gt;0,Q$4+3&lt;$E9+($G9-$E9+1)*$H9)),2,1),IF(AND(Suivi&gt;=Q$4,Suivi&lt;Q$4+7),3,0))</f>
        <v/>
      </c>
      <c r="R9" s="40">
        <f>IF(AND(R$4&lt;=$G9,R$4+6&gt;=$E9),IF(OR($H9&gt;=1,AND($H9&gt;0,R$4+3&lt;$E9+($G9-$E9+1)*$H9)),2,1),IF(AND(Suivi&gt;=R$4,Suivi&lt;R$4+7),3,0))</f>
        <v/>
      </c>
      <c r="S9" s="40">
        <f>IF(AND(S$4&lt;=$G9,S$4+6&gt;=$E9),IF(OR($H9&gt;=1,AND($H9&gt;0,S$4+3&lt;$E9+($G9-$E9+1)*$H9)),2,1),IF(AND(Suivi&gt;=S$4,Suivi&lt;S$4+7),3,0))</f>
        <v/>
      </c>
      <c r="T9" s="40">
        <f>IF(AND(T$4&lt;=$G9,T$4+6&gt;=$E9),IF(OR($H9&gt;=1,AND($H9&gt;0,T$4+3&lt;$E9+($G9-$E9+1)*$H9)),2,1),IF(AND(Suivi&gt;=T$4,Suivi&lt;T$4+7),3,0))</f>
        <v/>
      </c>
      <c r="U9" s="40">
        <f>IF(AND(U$4&lt;=$G9,U$4+6&gt;=$E9),IF(OR($H9&gt;=1,AND($H9&gt;0,U$4+3&lt;$E9+($G9-$E9+1)*$H9)),2,1),IF(AND(Suivi&gt;=U$4,Suivi&lt;U$4+7),3,0))</f>
        <v/>
      </c>
      <c r="V9" s="40">
        <f>IF(AND(V$4&lt;=$G9,V$4+6&gt;=$E9),IF(OR($H9&gt;=1,AND($H9&gt;0,V$4+3&lt;$E9+($G9-$E9+1)*$H9)),2,1),IF(AND(Suivi&gt;=V$4,Suivi&lt;V$4+7),3,0))</f>
        <v/>
      </c>
      <c r="W9" s="40">
        <f>IF(AND(W$4&lt;=$G9,W$4+6&gt;=$E9),IF(OR($H9&gt;=1,AND($H9&gt;0,W$4+3&lt;$E9+($G9-$E9+1)*$H9)),2,1),IF(AND(Suivi&gt;=W$4,Suivi&lt;W$4+7),3,0))</f>
        <v/>
      </c>
      <c r="X9" s="40">
        <f>IF(AND(X$4&lt;=$G9,X$4+6&gt;=$E9),IF(OR($H9&gt;=1,AND($H9&gt;0,X$4+3&lt;$E9+($G9-$E9+1)*$H9)),2,1),IF(AND(Suivi&gt;=X$4,Suivi&lt;X$4+7),3,0))</f>
        <v/>
      </c>
      <c r="Y9" s="40">
        <f>IF(AND(Y$4&lt;=$G9,Y$4+6&gt;=$E9),IF(OR($H9&gt;=1,AND($H9&gt;0,Y$4+3&lt;$E9+($G9-$E9+1)*$H9)),2,1),IF(AND(Suivi&gt;=Y$4,Suivi&lt;Y$4+7),3,0))</f>
        <v/>
      </c>
      <c r="Z9" s="40">
        <f>IF(AND(Z$4&lt;=$G9,Z$4+6&gt;=$E9),IF(OR($H9&gt;=1,AND($H9&gt;0,Z$4+3&lt;$E9+($G9-$E9+1)*$H9)),2,1),IF(AND(Suivi&gt;=Z$4,Suivi&lt;Z$4+7),3,0))</f>
        <v/>
      </c>
      <c r="AA9" s="40">
        <f>IF(AND(AA$4&lt;=$G9,AA$4+6&gt;=$E9),IF(OR($H9&gt;=1,AND($H9&gt;0,AA$4+3&lt;$E9+($G9-$E9+1)*$H9)),2,1),IF(AND(Suivi&gt;=AA$4,Suivi&lt;AA$4+7),3,0))</f>
        <v/>
      </c>
      <c r="AB9" s="40">
        <f>IF(AND(AB$4&lt;=$G9,AB$4+6&gt;=$E9),IF(OR($H9&gt;=1,AND($H9&gt;0,AB$4+3&lt;$E9+($G9-$E9+1)*$H9)),2,1),IF(AND(Suivi&gt;=AB$4,Suivi&lt;AB$4+7),3,0))</f>
        <v/>
      </c>
      <c r="AC9" s="40">
        <f>IF(AND(AC$4&lt;=$G9,AC$4+6&gt;=$E9),IF(OR($H9&gt;=1,AND($H9&gt;0,AC$4+3&lt;$E9+($G9-$E9+1)*$H9)),2,1),IF(AND(Suivi&gt;=AC$4,Suivi&lt;AC$4+7),3,0))</f>
        <v/>
      </c>
      <c r="AD9" s="40">
        <f>IF(AND(AD$4&lt;=$G9,AD$4+6&gt;=$E9),IF(OR($H9&gt;=1,AND($H9&gt;0,AD$4+3&lt;$E9+($G9-$E9+1)*$H9)),2,1),IF(AND(Suivi&gt;=AD$4,Suivi&lt;AD$4+7),3,0))</f>
        <v/>
      </c>
      <c r="AE9" s="40">
        <f>IF(AND(AE$4&lt;=$G9,AE$4+6&gt;=$E9),IF(OR($H9&gt;=1,AND($H9&gt;0,AE$4+3&lt;$E9+($G9-$E9+1)*$H9)),2,1),IF(AND(Suivi&gt;=AE$4,Suivi&lt;AE$4+7),3,0))</f>
        <v/>
      </c>
      <c r="AF9" s="40">
        <f>IF(AND(AF$4&lt;=$G9,AF$4+6&gt;=$E9),IF(OR($H9&gt;=1,AND($H9&gt;0,AF$4+3&lt;$E9+($G9-$E9+1)*$H9)),2,1),IF(AND(Suivi&gt;=AF$4,Suivi&lt;AF$4+7),3,0))</f>
        <v/>
      </c>
      <c r="AG9" s="40">
        <f>IF(AND(AG$4&lt;=$G9,AG$4+6&gt;=$E9),IF(OR($H9&gt;=1,AND($H9&gt;0,AG$4+3&lt;$E9+($G9-$E9+1)*$H9)),2,1),IF(AND(Suivi&gt;=AG$4,Suivi&lt;AG$4+7),3,0))</f>
        <v/>
      </c>
      <c r="AH9" s="40">
        <f>IF(AND(AH$4&lt;=$G9,AH$4+6&gt;=$E9),IF(OR($H9&gt;=1,AND($H9&gt;0,AH$4+3&lt;$E9+($G9-$E9+1)*$H9)),2,1),IF(AND(Suivi&gt;=AH$4,Suivi&lt;AH$4+7),3,0))</f>
        <v/>
      </c>
      <c r="AI9" s="40">
        <f>IF(AND(AI$4&lt;=$G9,AI$4+6&gt;=$E9),IF(OR($H9&gt;=1,AND($H9&gt;0,AI$4+3&lt;$E9+($G9-$E9+1)*$H9)),2,1),IF(AND(Suivi&gt;=AI$4,Suivi&lt;AI$4+7),3,0))</f>
        <v/>
      </c>
      <c r="AJ9" s="40">
        <f>IF(AND(AJ$4&lt;=$G9,AJ$4+6&gt;=$E9),IF(OR($H9&gt;=1,AND($H9&gt;0,AJ$4+3&lt;$E9+($G9-$E9+1)*$H9)),2,1),IF(AND(Suivi&gt;=AJ$4,Suivi&lt;AJ$4+7),3,0))</f>
        <v/>
      </c>
      <c r="AK9" s="40">
        <f>IF(AND(AK$4&lt;=$G9,AK$4+6&gt;=$E9),IF(OR($H9&gt;=1,AND($H9&gt;0,AK$4+3&lt;$E9+($G9-$E9+1)*$H9)),2,1),IF(AND(Suivi&gt;=AK$4,Suivi&lt;AK$4+7),3,0))</f>
        <v/>
      </c>
      <c r="AL9" s="40">
        <f>IF(AND(AL$4&lt;=$G9,AL$4+6&gt;=$E9),IF(OR($H9&gt;=1,AND($H9&gt;0,AL$4+3&lt;$E9+($G9-$E9+1)*$H9)),2,1),IF(AND(Suivi&gt;=AL$4,Suivi&lt;AL$4+7),3,0))</f>
        <v/>
      </c>
      <c r="AM9" s="40">
        <f>IF(AND(AM$4&lt;=$G9,AM$4+6&gt;=$E9),IF(OR($H9&gt;=1,AND($H9&gt;0,AM$4+3&lt;$E9+($G9-$E9+1)*$H9)),2,1),IF(AND(Suivi&gt;=AM$4,Suivi&lt;AM$4+7),3,0))</f>
        <v/>
      </c>
      <c r="AN9" s="40">
        <f>IF(AND(AN$4&lt;=$G9,AN$4+6&gt;=$E9),IF(OR($H9&gt;=1,AND($H9&gt;0,AN$4+3&lt;$E9+($G9-$E9+1)*$H9)),2,1),IF(AND(Suivi&gt;=AN$4,Suivi&lt;AN$4+7),3,0))</f>
        <v/>
      </c>
      <c r="AO9" s="40">
        <f>IF(AND(AO$4&lt;=$G9,AO$4+6&gt;=$E9),IF(OR($H9&gt;=1,AND($H9&gt;0,AO$4+3&lt;$E9+($G9-$E9+1)*$H9)),2,1),IF(AND(Suivi&gt;=AO$4,Suivi&lt;AO$4+7),3,0))</f>
        <v/>
      </c>
      <c r="AP9" s="40">
        <f>IF(AND(AP$4&lt;=$G9,AP$4+6&gt;=$E9),IF(OR($H9&gt;=1,AND($H9&gt;0,AP$4+3&lt;$E9+($G9-$E9+1)*$H9)),2,1),IF(AND(Suivi&gt;=AP$4,Suivi&lt;AP$4+7),3,0))</f>
        <v/>
      </c>
      <c r="AQ9" s="40">
        <f>IF(AND(AQ$4&lt;=$G9,AQ$4+6&gt;=$E9),IF(OR($H9&gt;=1,AND($H9&gt;0,AQ$4+3&lt;$E9+($G9-$E9+1)*$H9)),2,1),IF(AND(Suivi&gt;=AQ$4,Suivi&lt;AQ$4+7),3,0))</f>
        <v/>
      </c>
      <c r="AR9" s="40">
        <f>IF(AND(AR$4&lt;=$G9,AR$4+6&gt;=$E9),IF(OR($H9&gt;=1,AND($H9&gt;0,AR$4+3&lt;$E9+($G9-$E9+1)*$H9)),2,1),IF(AND(Suivi&gt;=AR$4,Suivi&lt;AR$4+7),3,0))</f>
        <v/>
      </c>
      <c r="AS9" s="40">
        <f>IF(AND(AS$4&lt;=$G9,AS$4+6&gt;=$E9),IF(OR($H9&gt;=1,AND($H9&gt;0,AS$4+3&lt;$E9+($G9-$E9+1)*$H9)),2,1),IF(AND(Suivi&gt;=AS$4,Suivi&lt;AS$4+7),3,0))</f>
        <v/>
      </c>
      <c r="AT9" s="40">
        <f>IF(AND(AT$4&lt;=$G9,AT$4+6&gt;=$E9),IF(OR($H9&gt;=1,AND($H9&gt;0,AT$4+3&lt;$E9+($G9-$E9+1)*$H9)),2,1),IF(AND(Suivi&gt;=AT$4,Suivi&lt;AT$4+7),3,0))</f>
        <v/>
      </c>
      <c r="AU9" s="40">
        <f>IF(AND(AU$4&lt;=$G9,AU$4+6&gt;=$E9),IF(OR($H9&gt;=1,AND($H9&gt;0,AU$4+3&lt;$E9+($G9-$E9+1)*$H9)),2,1),IF(AND(Suivi&gt;=AU$4,Suivi&lt;AU$4+7),3,0))</f>
        <v/>
      </c>
      <c r="AV9" s="40">
        <f>IF(AND(AV$4&lt;=$G9,AV$4+6&gt;=$E9),IF(OR($H9&gt;=1,AND($H9&gt;0,AV$4+3&lt;$E9+($G9-$E9+1)*$H9)),2,1),IF(AND(Suivi&gt;=AV$4,Suivi&lt;AV$4+7),3,0))</f>
        <v/>
      </c>
      <c r="AW9" s="40">
        <f>IF(AND(AW$4&lt;=$G9,AW$4+6&gt;=$E9),IF(OR($H9&gt;=1,AND($H9&gt;0,AW$4+3&lt;$E9+($G9-$E9+1)*$H9)),2,1),IF(AND(Suivi&gt;=AW$4,Suivi&lt;AW$4+7),3,0))</f>
        <v/>
      </c>
      <c r="AX9" s="40">
        <f>IF(AND(AX$4&lt;=$G9,AX$4+6&gt;=$E9),IF(OR($H9&gt;=1,AND($H9&gt;0,AX$4+3&lt;$E9+($G9-$E9+1)*$H9)),2,1),IF(AND(Suivi&gt;=AX$4,Suivi&lt;AX$4+7),3,0))</f>
        <v/>
      </c>
      <c r="AY9" s="40">
        <f>IF(AND(AY$4&lt;=$G9,AY$4+6&gt;=$E9),IF(OR($H9&gt;=1,AND($H9&gt;0,AY$4+3&lt;$E9+($G9-$E9+1)*$H9)),2,1),IF(AND(Suivi&gt;=AY$4,Suivi&lt;AY$4+7),3,0))</f>
        <v/>
      </c>
      <c r="AZ9" s="40">
        <f>IF(AND(AZ$4&lt;=$G9,AZ$4+6&gt;=$E9),IF(OR($H9&gt;=1,AND($H9&gt;0,AZ$4+3&lt;$E9+($G9-$E9+1)*$H9)),2,1),IF(AND(Suivi&gt;=AZ$4,Suivi&lt;AZ$4+7),3,0))</f>
        <v/>
      </c>
      <c r="BA9" s="40">
        <f>IF(AND(BA$4&lt;=$G9,BA$4+6&gt;=$E9),IF(OR($H9&gt;=1,AND($H9&gt;0,BA$4+3&lt;$E9+($G9-$E9+1)*$H9)),2,1),IF(AND(Suivi&gt;=BA$4,Suivi&lt;BA$4+7),3,0))</f>
        <v/>
      </c>
      <c r="BB9" s="40">
        <f>IF(AND(BB$4&lt;=$G9,BB$4+6&gt;=$E9),IF(OR($H9&gt;=1,AND($H9&gt;0,BB$4+3&lt;$E9+($G9-$E9+1)*$H9)),2,1),IF(AND(Suivi&gt;=BB$4,Suivi&lt;BB$4+7),3,0))</f>
        <v/>
      </c>
      <c r="BC9" s="40">
        <f>IF(AND(BC$4&lt;=$G9,BC$4+6&gt;=$E9),IF(OR($H9&gt;=1,AND($H9&gt;0,BC$4+3&lt;$E9+($G9-$E9+1)*$H9)),2,1),IF(AND(Suivi&gt;=BC$4,Suivi&lt;BC$4+7),3,0))</f>
        <v/>
      </c>
      <c r="BD9" s="40">
        <f>IF(AND(BD$4&lt;=$G9,BD$4+6&gt;=$E9),IF(OR($H9&gt;=1,AND($H9&gt;0,BD$4+3&lt;$E9+($G9-$E9+1)*$H9)),2,1),IF(AND(Suivi&gt;=BD$4,Suivi&lt;BD$4+7),3,0))</f>
        <v/>
      </c>
      <c r="BE9" s="40">
        <f>IF(AND(BE$4&lt;=$G9,BE$4+6&gt;=$E9),IF(OR($H9&gt;=1,AND($H9&gt;0,BE$4+3&lt;$E9+($G9-$E9+1)*$H9)),2,1),IF(AND(Suivi&gt;=BE$4,Suivi&lt;BE$4+7),3,0))</f>
        <v/>
      </c>
      <c r="BF9" s="40">
        <f>IF(AND(BF$4&lt;=$G9,BF$4+6&gt;=$E9),IF(OR($H9&gt;=1,AND($H9&gt;0,BF$4+3&lt;$E9+($G9-$E9+1)*$H9)),2,1),IF(AND(Suivi&gt;=BF$4,Suivi&lt;BF$4+7),3,0))</f>
        <v/>
      </c>
      <c r="BG9" s="40">
        <f>IF(AND(BG$4&lt;=$G9,BG$4+6&gt;=$E9),IF(OR($H9&gt;=1,AND($H9&gt;0,BG$4+3&lt;$E9+($G9-$E9+1)*$H9)),2,1),IF(AND(Suivi&gt;=BG$4,Suivi&lt;BG$4+7),3,0))</f>
        <v/>
      </c>
      <c r="BH9" s="40">
        <f>IF(AND(BH$4&lt;=$G9,BH$4+6&gt;=$E9),IF(OR($H9&gt;=1,AND($H9&gt;0,BH$4+3&lt;$E9+($G9-$E9+1)*$H9)),2,1),IF(AND(Suivi&gt;=BH$4,Suivi&lt;BH$4+7),3,0))</f>
        <v/>
      </c>
      <c r="BI9" s="40">
        <f>IF(AND(BI$4&lt;=$G9,BI$4+6&gt;=$E9),IF(OR($H9&gt;=1,AND($H9&gt;0,BI$4+3&lt;$E9+($G9-$E9+1)*$H9)),2,1),IF(AND(Suivi&gt;=BI$4,Suivi&lt;BI$4+7),3,0))</f>
        <v/>
      </c>
      <c r="BJ9" s="40">
        <f>IF(AND(BJ$4&lt;=$G9,BJ$4+6&gt;=$E9),IF(OR($H9&gt;=1,AND($H9&gt;0,BJ$4+3&lt;$E9+($G9-$E9+1)*$H9)),2,1),IF(AND(Suivi&gt;=BJ$4,Suivi&lt;BJ$4+7),3,0))</f>
        <v/>
      </c>
      <c r="BK9" s="40">
        <f>IF(AND(BK$4&lt;=$G9,BK$4+6&gt;=$E9),IF(OR($H9&gt;=1,AND($H9&gt;0,BK$4+3&lt;$E9+($G9-$E9+1)*$H9)),2,1),IF(AND(Suivi&gt;=BK$4,Suivi&lt;BK$4+7),3,0))</f>
        <v/>
      </c>
      <c r="BL9" s="40">
        <f>IF(AND(BL$4&lt;=$G9,BL$4+6&gt;=$E9),IF(OR($H9&gt;=1,AND($H9&gt;0,BL$4+3&lt;$E9+($G9-$E9+1)*$H9)),2,1),IF(AND(Suivi&gt;=BL$4,Suivi&lt;BL$4+7),3,0))</f>
        <v/>
      </c>
      <c r="BM9" s="40">
        <f>IF(AND(BM$4&lt;=$G9,BM$4+6&gt;=$E9),IF(OR($H9&gt;=1,AND($H9&gt;0,BM$4+3&lt;$E9+($G9-$E9+1)*$H9)),2,1),IF(AND(Suivi&gt;=BM$4,Suivi&lt;BM$4+7),3,0))</f>
        <v/>
      </c>
      <c r="BN9" s="40">
        <f>IF(AND(BN$4&lt;=$G9,BN$4+6&gt;=$E9),IF(OR($H9&gt;=1,AND($H9&gt;0,BN$4+3&lt;$E9+($G9-$E9+1)*$H9)),2,1),IF(AND(Suivi&gt;=BN$4,Suivi&lt;BN$4+7),3,0))</f>
        <v/>
      </c>
      <c r="BO9" s="40">
        <f>IF(AND(BO$4&lt;=$G9,BO$4+6&gt;=$E9),IF(OR($H9&gt;=1,AND($H9&gt;0,BO$4+3&lt;$E9+($G9-$E9+1)*$H9)),2,1),IF(AND(Suivi&gt;=BO$4,Suivi&lt;BO$4+7),3,0))</f>
        <v/>
      </c>
    </row>
    <row r="10" ht="20" customHeight="1">
      <c r="A10" s="36" t="n">
        <v>6</v>
      </c>
      <c r="B10" s="36" t="inlineStr">
        <is>
          <t>هيكل الطابق الأول</t>
        </is>
      </c>
      <c r="C10" s="36" t="inlineStr">
        <is>
          <t>أشغال كبرى</t>
        </is>
      </c>
      <c r="D10" s="36" t="inlineStr">
        <is>
          <t>فريق الأشغال الكبرى</t>
        </is>
      </c>
      <c r="E10" s="37" t="n">
        <v>46221</v>
      </c>
      <c r="F10" s="36" t="n">
        <v>24</v>
      </c>
      <c r="G10" s="37">
        <f>WORKDAY.INTL(E10,F10-1,Repos)</f>
        <v/>
      </c>
      <c r="H10" s="38" t="n">
        <v>1</v>
      </c>
      <c r="I10" s="36">
        <f>IF(H10&gt;=1,"مكتملة",IF(AND(Suivi&gt;G10,H10&lt;1),"متأخرة",IF(Suivi&lt;E10,"لم تبدأ",IF(H10+0.15&lt;(Suivi-E10)/MAX(1,G10-E10),"تحتاج متابعة","جارية"))))</f>
        <v/>
      </c>
      <c r="J10" s="39" t="n">
        <v>2700000</v>
      </c>
      <c r="L10" s="40">
        <f>IF(AND(L$4&lt;=$G10,L$4+6&gt;=$E10),IF(OR($H10&gt;=1,AND($H10&gt;0,L$4+3&lt;$E10+($G10-$E10+1)*$H10)),2,1),IF(AND(Suivi&gt;=L$4,Suivi&lt;L$4+7),3,0))</f>
        <v/>
      </c>
      <c r="M10" s="40">
        <f>IF(AND(M$4&lt;=$G10,M$4+6&gt;=$E10),IF(OR($H10&gt;=1,AND($H10&gt;0,M$4+3&lt;$E10+($G10-$E10+1)*$H10)),2,1),IF(AND(Suivi&gt;=M$4,Suivi&lt;M$4+7),3,0))</f>
        <v/>
      </c>
      <c r="N10" s="40">
        <f>IF(AND(N$4&lt;=$G10,N$4+6&gt;=$E10),IF(OR($H10&gt;=1,AND($H10&gt;0,N$4+3&lt;$E10+($G10-$E10+1)*$H10)),2,1),IF(AND(Suivi&gt;=N$4,Suivi&lt;N$4+7),3,0))</f>
        <v/>
      </c>
      <c r="O10" s="40">
        <f>IF(AND(O$4&lt;=$G10,O$4+6&gt;=$E10),IF(OR($H10&gt;=1,AND($H10&gt;0,O$4+3&lt;$E10+($G10-$E10+1)*$H10)),2,1),IF(AND(Suivi&gt;=O$4,Suivi&lt;O$4+7),3,0))</f>
        <v/>
      </c>
      <c r="P10" s="40">
        <f>IF(AND(P$4&lt;=$G10,P$4+6&gt;=$E10),IF(OR($H10&gt;=1,AND($H10&gt;0,P$4+3&lt;$E10+($G10-$E10+1)*$H10)),2,1),IF(AND(Suivi&gt;=P$4,Suivi&lt;P$4+7),3,0))</f>
        <v/>
      </c>
      <c r="Q10" s="40">
        <f>IF(AND(Q$4&lt;=$G10,Q$4+6&gt;=$E10),IF(OR($H10&gt;=1,AND($H10&gt;0,Q$4+3&lt;$E10+($G10-$E10+1)*$H10)),2,1),IF(AND(Suivi&gt;=Q$4,Suivi&lt;Q$4+7),3,0))</f>
        <v/>
      </c>
      <c r="R10" s="40">
        <f>IF(AND(R$4&lt;=$G10,R$4+6&gt;=$E10),IF(OR($H10&gt;=1,AND($H10&gt;0,R$4+3&lt;$E10+($G10-$E10+1)*$H10)),2,1),IF(AND(Suivi&gt;=R$4,Suivi&lt;R$4+7),3,0))</f>
        <v/>
      </c>
      <c r="S10" s="40">
        <f>IF(AND(S$4&lt;=$G10,S$4+6&gt;=$E10),IF(OR($H10&gt;=1,AND($H10&gt;0,S$4+3&lt;$E10+($G10-$E10+1)*$H10)),2,1),IF(AND(Suivi&gt;=S$4,Suivi&lt;S$4+7),3,0))</f>
        <v/>
      </c>
      <c r="T10" s="40">
        <f>IF(AND(T$4&lt;=$G10,T$4+6&gt;=$E10),IF(OR($H10&gt;=1,AND($H10&gt;0,T$4+3&lt;$E10+($G10-$E10+1)*$H10)),2,1),IF(AND(Suivi&gt;=T$4,Suivi&lt;T$4+7),3,0))</f>
        <v/>
      </c>
      <c r="U10" s="40">
        <f>IF(AND(U$4&lt;=$G10,U$4+6&gt;=$E10),IF(OR($H10&gt;=1,AND($H10&gt;0,U$4+3&lt;$E10+($G10-$E10+1)*$H10)),2,1),IF(AND(Suivi&gt;=U$4,Suivi&lt;U$4+7),3,0))</f>
        <v/>
      </c>
      <c r="V10" s="40">
        <f>IF(AND(V$4&lt;=$G10,V$4+6&gt;=$E10),IF(OR($H10&gt;=1,AND($H10&gt;0,V$4+3&lt;$E10+($G10-$E10+1)*$H10)),2,1),IF(AND(Suivi&gt;=V$4,Suivi&lt;V$4+7),3,0))</f>
        <v/>
      </c>
      <c r="W10" s="40">
        <f>IF(AND(W$4&lt;=$G10,W$4+6&gt;=$E10),IF(OR($H10&gt;=1,AND($H10&gt;0,W$4+3&lt;$E10+($G10-$E10+1)*$H10)),2,1),IF(AND(Suivi&gt;=W$4,Suivi&lt;W$4+7),3,0))</f>
        <v/>
      </c>
      <c r="X10" s="40">
        <f>IF(AND(X$4&lt;=$G10,X$4+6&gt;=$E10),IF(OR($H10&gt;=1,AND($H10&gt;0,X$4+3&lt;$E10+($G10-$E10+1)*$H10)),2,1),IF(AND(Suivi&gt;=X$4,Suivi&lt;X$4+7),3,0))</f>
        <v/>
      </c>
      <c r="Y10" s="40">
        <f>IF(AND(Y$4&lt;=$G10,Y$4+6&gt;=$E10),IF(OR($H10&gt;=1,AND($H10&gt;0,Y$4+3&lt;$E10+($G10-$E10+1)*$H10)),2,1),IF(AND(Suivi&gt;=Y$4,Suivi&lt;Y$4+7),3,0))</f>
        <v/>
      </c>
      <c r="Z10" s="40">
        <f>IF(AND(Z$4&lt;=$G10,Z$4+6&gt;=$E10),IF(OR($H10&gt;=1,AND($H10&gt;0,Z$4+3&lt;$E10+($G10-$E10+1)*$H10)),2,1),IF(AND(Suivi&gt;=Z$4,Suivi&lt;Z$4+7),3,0))</f>
        <v/>
      </c>
      <c r="AA10" s="40">
        <f>IF(AND(AA$4&lt;=$G10,AA$4+6&gt;=$E10),IF(OR($H10&gt;=1,AND($H10&gt;0,AA$4+3&lt;$E10+($G10-$E10+1)*$H10)),2,1),IF(AND(Suivi&gt;=AA$4,Suivi&lt;AA$4+7),3,0))</f>
        <v/>
      </c>
      <c r="AB10" s="40">
        <f>IF(AND(AB$4&lt;=$G10,AB$4+6&gt;=$E10),IF(OR($H10&gt;=1,AND($H10&gt;0,AB$4+3&lt;$E10+($G10-$E10+1)*$H10)),2,1),IF(AND(Suivi&gt;=AB$4,Suivi&lt;AB$4+7),3,0))</f>
        <v/>
      </c>
      <c r="AC10" s="40">
        <f>IF(AND(AC$4&lt;=$G10,AC$4+6&gt;=$E10),IF(OR($H10&gt;=1,AND($H10&gt;0,AC$4+3&lt;$E10+($G10-$E10+1)*$H10)),2,1),IF(AND(Suivi&gt;=AC$4,Suivi&lt;AC$4+7),3,0))</f>
        <v/>
      </c>
      <c r="AD10" s="40">
        <f>IF(AND(AD$4&lt;=$G10,AD$4+6&gt;=$E10),IF(OR($H10&gt;=1,AND($H10&gt;0,AD$4+3&lt;$E10+($G10-$E10+1)*$H10)),2,1),IF(AND(Suivi&gt;=AD$4,Suivi&lt;AD$4+7),3,0))</f>
        <v/>
      </c>
      <c r="AE10" s="40">
        <f>IF(AND(AE$4&lt;=$G10,AE$4+6&gt;=$E10),IF(OR($H10&gt;=1,AND($H10&gt;0,AE$4+3&lt;$E10+($G10-$E10+1)*$H10)),2,1),IF(AND(Suivi&gt;=AE$4,Suivi&lt;AE$4+7),3,0))</f>
        <v/>
      </c>
      <c r="AF10" s="40">
        <f>IF(AND(AF$4&lt;=$G10,AF$4+6&gt;=$E10),IF(OR($H10&gt;=1,AND($H10&gt;0,AF$4+3&lt;$E10+($G10-$E10+1)*$H10)),2,1),IF(AND(Suivi&gt;=AF$4,Suivi&lt;AF$4+7),3,0))</f>
        <v/>
      </c>
      <c r="AG10" s="40">
        <f>IF(AND(AG$4&lt;=$G10,AG$4+6&gt;=$E10),IF(OR($H10&gt;=1,AND($H10&gt;0,AG$4+3&lt;$E10+($G10-$E10+1)*$H10)),2,1),IF(AND(Suivi&gt;=AG$4,Suivi&lt;AG$4+7),3,0))</f>
        <v/>
      </c>
      <c r="AH10" s="40">
        <f>IF(AND(AH$4&lt;=$G10,AH$4+6&gt;=$E10),IF(OR($H10&gt;=1,AND($H10&gt;0,AH$4+3&lt;$E10+($G10-$E10+1)*$H10)),2,1),IF(AND(Suivi&gt;=AH$4,Suivi&lt;AH$4+7),3,0))</f>
        <v/>
      </c>
      <c r="AI10" s="40">
        <f>IF(AND(AI$4&lt;=$G10,AI$4+6&gt;=$E10),IF(OR($H10&gt;=1,AND($H10&gt;0,AI$4+3&lt;$E10+($G10-$E10+1)*$H10)),2,1),IF(AND(Suivi&gt;=AI$4,Suivi&lt;AI$4+7),3,0))</f>
        <v/>
      </c>
      <c r="AJ10" s="40">
        <f>IF(AND(AJ$4&lt;=$G10,AJ$4+6&gt;=$E10),IF(OR($H10&gt;=1,AND($H10&gt;0,AJ$4+3&lt;$E10+($G10-$E10+1)*$H10)),2,1),IF(AND(Suivi&gt;=AJ$4,Suivi&lt;AJ$4+7),3,0))</f>
        <v/>
      </c>
      <c r="AK10" s="40">
        <f>IF(AND(AK$4&lt;=$G10,AK$4+6&gt;=$E10),IF(OR($H10&gt;=1,AND($H10&gt;0,AK$4+3&lt;$E10+($G10-$E10+1)*$H10)),2,1),IF(AND(Suivi&gt;=AK$4,Suivi&lt;AK$4+7),3,0))</f>
        <v/>
      </c>
      <c r="AL10" s="40">
        <f>IF(AND(AL$4&lt;=$G10,AL$4+6&gt;=$E10),IF(OR($H10&gt;=1,AND($H10&gt;0,AL$4+3&lt;$E10+($G10-$E10+1)*$H10)),2,1),IF(AND(Suivi&gt;=AL$4,Suivi&lt;AL$4+7),3,0))</f>
        <v/>
      </c>
      <c r="AM10" s="40">
        <f>IF(AND(AM$4&lt;=$G10,AM$4+6&gt;=$E10),IF(OR($H10&gt;=1,AND($H10&gt;0,AM$4+3&lt;$E10+($G10-$E10+1)*$H10)),2,1),IF(AND(Suivi&gt;=AM$4,Suivi&lt;AM$4+7),3,0))</f>
        <v/>
      </c>
      <c r="AN10" s="40">
        <f>IF(AND(AN$4&lt;=$G10,AN$4+6&gt;=$E10),IF(OR($H10&gt;=1,AND($H10&gt;0,AN$4+3&lt;$E10+($G10-$E10+1)*$H10)),2,1),IF(AND(Suivi&gt;=AN$4,Suivi&lt;AN$4+7),3,0))</f>
        <v/>
      </c>
      <c r="AO10" s="40">
        <f>IF(AND(AO$4&lt;=$G10,AO$4+6&gt;=$E10),IF(OR($H10&gt;=1,AND($H10&gt;0,AO$4+3&lt;$E10+($G10-$E10+1)*$H10)),2,1),IF(AND(Suivi&gt;=AO$4,Suivi&lt;AO$4+7),3,0))</f>
        <v/>
      </c>
      <c r="AP10" s="40">
        <f>IF(AND(AP$4&lt;=$G10,AP$4+6&gt;=$E10),IF(OR($H10&gt;=1,AND($H10&gt;0,AP$4+3&lt;$E10+($G10-$E10+1)*$H10)),2,1),IF(AND(Suivi&gt;=AP$4,Suivi&lt;AP$4+7),3,0))</f>
        <v/>
      </c>
      <c r="AQ10" s="40">
        <f>IF(AND(AQ$4&lt;=$G10,AQ$4+6&gt;=$E10),IF(OR($H10&gt;=1,AND($H10&gt;0,AQ$4+3&lt;$E10+($G10-$E10+1)*$H10)),2,1),IF(AND(Suivi&gt;=AQ$4,Suivi&lt;AQ$4+7),3,0))</f>
        <v/>
      </c>
      <c r="AR10" s="40">
        <f>IF(AND(AR$4&lt;=$G10,AR$4+6&gt;=$E10),IF(OR($H10&gt;=1,AND($H10&gt;0,AR$4+3&lt;$E10+($G10-$E10+1)*$H10)),2,1),IF(AND(Suivi&gt;=AR$4,Suivi&lt;AR$4+7),3,0))</f>
        <v/>
      </c>
      <c r="AS10" s="40">
        <f>IF(AND(AS$4&lt;=$G10,AS$4+6&gt;=$E10),IF(OR($H10&gt;=1,AND($H10&gt;0,AS$4+3&lt;$E10+($G10-$E10+1)*$H10)),2,1),IF(AND(Suivi&gt;=AS$4,Suivi&lt;AS$4+7),3,0))</f>
        <v/>
      </c>
      <c r="AT10" s="40">
        <f>IF(AND(AT$4&lt;=$G10,AT$4+6&gt;=$E10),IF(OR($H10&gt;=1,AND($H10&gt;0,AT$4+3&lt;$E10+($G10-$E10+1)*$H10)),2,1),IF(AND(Suivi&gt;=AT$4,Suivi&lt;AT$4+7),3,0))</f>
        <v/>
      </c>
      <c r="AU10" s="40">
        <f>IF(AND(AU$4&lt;=$G10,AU$4+6&gt;=$E10),IF(OR($H10&gt;=1,AND($H10&gt;0,AU$4+3&lt;$E10+($G10-$E10+1)*$H10)),2,1),IF(AND(Suivi&gt;=AU$4,Suivi&lt;AU$4+7),3,0))</f>
        <v/>
      </c>
      <c r="AV10" s="40">
        <f>IF(AND(AV$4&lt;=$G10,AV$4+6&gt;=$E10),IF(OR($H10&gt;=1,AND($H10&gt;0,AV$4+3&lt;$E10+($G10-$E10+1)*$H10)),2,1),IF(AND(Suivi&gt;=AV$4,Suivi&lt;AV$4+7),3,0))</f>
        <v/>
      </c>
      <c r="AW10" s="40">
        <f>IF(AND(AW$4&lt;=$G10,AW$4+6&gt;=$E10),IF(OR($H10&gt;=1,AND($H10&gt;0,AW$4+3&lt;$E10+($G10-$E10+1)*$H10)),2,1),IF(AND(Suivi&gt;=AW$4,Suivi&lt;AW$4+7),3,0))</f>
        <v/>
      </c>
      <c r="AX10" s="40">
        <f>IF(AND(AX$4&lt;=$G10,AX$4+6&gt;=$E10),IF(OR($H10&gt;=1,AND($H10&gt;0,AX$4+3&lt;$E10+($G10-$E10+1)*$H10)),2,1),IF(AND(Suivi&gt;=AX$4,Suivi&lt;AX$4+7),3,0))</f>
        <v/>
      </c>
      <c r="AY10" s="40">
        <f>IF(AND(AY$4&lt;=$G10,AY$4+6&gt;=$E10),IF(OR($H10&gt;=1,AND($H10&gt;0,AY$4+3&lt;$E10+($G10-$E10+1)*$H10)),2,1),IF(AND(Suivi&gt;=AY$4,Suivi&lt;AY$4+7),3,0))</f>
        <v/>
      </c>
      <c r="AZ10" s="40">
        <f>IF(AND(AZ$4&lt;=$G10,AZ$4+6&gt;=$E10),IF(OR($H10&gt;=1,AND($H10&gt;0,AZ$4+3&lt;$E10+($G10-$E10+1)*$H10)),2,1),IF(AND(Suivi&gt;=AZ$4,Suivi&lt;AZ$4+7),3,0))</f>
        <v/>
      </c>
      <c r="BA10" s="40">
        <f>IF(AND(BA$4&lt;=$G10,BA$4+6&gt;=$E10),IF(OR($H10&gt;=1,AND($H10&gt;0,BA$4+3&lt;$E10+($G10-$E10+1)*$H10)),2,1),IF(AND(Suivi&gt;=BA$4,Suivi&lt;BA$4+7),3,0))</f>
        <v/>
      </c>
      <c r="BB10" s="40">
        <f>IF(AND(BB$4&lt;=$G10,BB$4+6&gt;=$E10),IF(OR($H10&gt;=1,AND($H10&gt;0,BB$4+3&lt;$E10+($G10-$E10+1)*$H10)),2,1),IF(AND(Suivi&gt;=BB$4,Suivi&lt;BB$4+7),3,0))</f>
        <v/>
      </c>
      <c r="BC10" s="40">
        <f>IF(AND(BC$4&lt;=$G10,BC$4+6&gt;=$E10),IF(OR($H10&gt;=1,AND($H10&gt;0,BC$4+3&lt;$E10+($G10-$E10+1)*$H10)),2,1),IF(AND(Suivi&gt;=BC$4,Suivi&lt;BC$4+7),3,0))</f>
        <v/>
      </c>
      <c r="BD10" s="40">
        <f>IF(AND(BD$4&lt;=$G10,BD$4+6&gt;=$E10),IF(OR($H10&gt;=1,AND($H10&gt;0,BD$4+3&lt;$E10+($G10-$E10+1)*$H10)),2,1),IF(AND(Suivi&gt;=BD$4,Suivi&lt;BD$4+7),3,0))</f>
        <v/>
      </c>
      <c r="BE10" s="40">
        <f>IF(AND(BE$4&lt;=$G10,BE$4+6&gt;=$E10),IF(OR($H10&gt;=1,AND($H10&gt;0,BE$4+3&lt;$E10+($G10-$E10+1)*$H10)),2,1),IF(AND(Suivi&gt;=BE$4,Suivi&lt;BE$4+7),3,0))</f>
        <v/>
      </c>
      <c r="BF10" s="40">
        <f>IF(AND(BF$4&lt;=$G10,BF$4+6&gt;=$E10),IF(OR($H10&gt;=1,AND($H10&gt;0,BF$4+3&lt;$E10+($G10-$E10+1)*$H10)),2,1),IF(AND(Suivi&gt;=BF$4,Suivi&lt;BF$4+7),3,0))</f>
        <v/>
      </c>
      <c r="BG10" s="40">
        <f>IF(AND(BG$4&lt;=$G10,BG$4+6&gt;=$E10),IF(OR($H10&gt;=1,AND($H10&gt;0,BG$4+3&lt;$E10+($G10-$E10+1)*$H10)),2,1),IF(AND(Suivi&gt;=BG$4,Suivi&lt;BG$4+7),3,0))</f>
        <v/>
      </c>
      <c r="BH10" s="40">
        <f>IF(AND(BH$4&lt;=$G10,BH$4+6&gt;=$E10),IF(OR($H10&gt;=1,AND($H10&gt;0,BH$4+3&lt;$E10+($G10-$E10+1)*$H10)),2,1),IF(AND(Suivi&gt;=BH$4,Suivi&lt;BH$4+7),3,0))</f>
        <v/>
      </c>
      <c r="BI10" s="40">
        <f>IF(AND(BI$4&lt;=$G10,BI$4+6&gt;=$E10),IF(OR($H10&gt;=1,AND($H10&gt;0,BI$4+3&lt;$E10+($G10-$E10+1)*$H10)),2,1),IF(AND(Suivi&gt;=BI$4,Suivi&lt;BI$4+7),3,0))</f>
        <v/>
      </c>
      <c r="BJ10" s="40">
        <f>IF(AND(BJ$4&lt;=$G10,BJ$4+6&gt;=$E10),IF(OR($H10&gt;=1,AND($H10&gt;0,BJ$4+3&lt;$E10+($G10-$E10+1)*$H10)),2,1),IF(AND(Suivi&gt;=BJ$4,Suivi&lt;BJ$4+7),3,0))</f>
        <v/>
      </c>
      <c r="BK10" s="40">
        <f>IF(AND(BK$4&lt;=$G10,BK$4+6&gt;=$E10),IF(OR($H10&gt;=1,AND($H10&gt;0,BK$4+3&lt;$E10+($G10-$E10+1)*$H10)),2,1),IF(AND(Suivi&gt;=BK$4,Suivi&lt;BK$4+7),3,0))</f>
        <v/>
      </c>
      <c r="BL10" s="40">
        <f>IF(AND(BL$4&lt;=$G10,BL$4+6&gt;=$E10),IF(OR($H10&gt;=1,AND($H10&gt;0,BL$4+3&lt;$E10+($G10-$E10+1)*$H10)),2,1),IF(AND(Suivi&gt;=BL$4,Suivi&lt;BL$4+7),3,0))</f>
        <v/>
      </c>
      <c r="BM10" s="40">
        <f>IF(AND(BM$4&lt;=$G10,BM$4+6&gt;=$E10),IF(OR($H10&gt;=1,AND($H10&gt;0,BM$4+3&lt;$E10+($G10-$E10+1)*$H10)),2,1),IF(AND(Suivi&gt;=BM$4,Suivi&lt;BM$4+7),3,0))</f>
        <v/>
      </c>
      <c r="BN10" s="40">
        <f>IF(AND(BN$4&lt;=$G10,BN$4+6&gt;=$E10),IF(OR($H10&gt;=1,AND($H10&gt;0,BN$4+3&lt;$E10+($G10-$E10+1)*$H10)),2,1),IF(AND(Suivi&gt;=BN$4,Suivi&lt;BN$4+7),3,0))</f>
        <v/>
      </c>
      <c r="BO10" s="40">
        <f>IF(AND(BO$4&lt;=$G10,BO$4+6&gt;=$E10),IF(OR($H10&gt;=1,AND($H10&gt;0,BO$4+3&lt;$E10+($G10-$E10+1)*$H10)),2,1),IF(AND(Suivi&gt;=BO$4,Suivi&lt;BO$4+7),3,0))</f>
        <v/>
      </c>
    </row>
    <row r="11" ht="20" customHeight="1">
      <c r="A11" s="36" t="n">
        <v>7</v>
      </c>
      <c r="B11" s="36" t="inlineStr">
        <is>
          <t>هيكل الطابق الثاني والسطح</t>
        </is>
      </c>
      <c r="C11" s="36" t="inlineStr">
        <is>
          <t>أشغال كبرى</t>
        </is>
      </c>
      <c r="D11" s="36" t="inlineStr">
        <is>
          <t>فريق الأشغال الكبرى</t>
        </is>
      </c>
      <c r="E11" s="37" t="n">
        <v>46249</v>
      </c>
      <c r="F11" s="36" t="n">
        <v>27</v>
      </c>
      <c r="G11" s="37">
        <f>WORKDAY.INTL(E11,F11-1,Repos)</f>
        <v/>
      </c>
      <c r="H11" s="38" t="n">
        <v>1</v>
      </c>
      <c r="I11" s="36">
        <f>IF(H11&gt;=1,"مكتملة",IF(AND(Suivi&gt;G11,H11&lt;1),"متأخرة",IF(Suivi&lt;E11,"لم تبدأ",IF(H11+0.15&lt;(Suivi-E11)/MAX(1,G11-E11),"تحتاج متابعة","جارية"))))</f>
        <v/>
      </c>
      <c r="J11" s="39" t="n">
        <v>3100000</v>
      </c>
      <c r="L11" s="40">
        <f>IF(AND(L$4&lt;=$G11,L$4+6&gt;=$E11),IF(OR($H11&gt;=1,AND($H11&gt;0,L$4+3&lt;$E11+($G11-$E11+1)*$H11)),2,1),IF(AND(Suivi&gt;=L$4,Suivi&lt;L$4+7),3,0))</f>
        <v/>
      </c>
      <c r="M11" s="40">
        <f>IF(AND(M$4&lt;=$G11,M$4+6&gt;=$E11),IF(OR($H11&gt;=1,AND($H11&gt;0,M$4+3&lt;$E11+($G11-$E11+1)*$H11)),2,1),IF(AND(Suivi&gt;=M$4,Suivi&lt;M$4+7),3,0))</f>
        <v/>
      </c>
      <c r="N11" s="40">
        <f>IF(AND(N$4&lt;=$G11,N$4+6&gt;=$E11),IF(OR($H11&gt;=1,AND($H11&gt;0,N$4+3&lt;$E11+($G11-$E11+1)*$H11)),2,1),IF(AND(Suivi&gt;=N$4,Suivi&lt;N$4+7),3,0))</f>
        <v/>
      </c>
      <c r="O11" s="40">
        <f>IF(AND(O$4&lt;=$G11,O$4+6&gt;=$E11),IF(OR($H11&gt;=1,AND($H11&gt;0,O$4+3&lt;$E11+($G11-$E11+1)*$H11)),2,1),IF(AND(Suivi&gt;=O$4,Suivi&lt;O$4+7),3,0))</f>
        <v/>
      </c>
      <c r="P11" s="40">
        <f>IF(AND(P$4&lt;=$G11,P$4+6&gt;=$E11),IF(OR($H11&gt;=1,AND($H11&gt;0,P$4+3&lt;$E11+($G11-$E11+1)*$H11)),2,1),IF(AND(Suivi&gt;=P$4,Suivi&lt;P$4+7),3,0))</f>
        <v/>
      </c>
      <c r="Q11" s="40">
        <f>IF(AND(Q$4&lt;=$G11,Q$4+6&gt;=$E11),IF(OR($H11&gt;=1,AND($H11&gt;0,Q$4+3&lt;$E11+($G11-$E11+1)*$H11)),2,1),IF(AND(Suivi&gt;=Q$4,Suivi&lt;Q$4+7),3,0))</f>
        <v/>
      </c>
      <c r="R11" s="40">
        <f>IF(AND(R$4&lt;=$G11,R$4+6&gt;=$E11),IF(OR($H11&gt;=1,AND($H11&gt;0,R$4+3&lt;$E11+($G11-$E11+1)*$H11)),2,1),IF(AND(Suivi&gt;=R$4,Suivi&lt;R$4+7),3,0))</f>
        <v/>
      </c>
      <c r="S11" s="40">
        <f>IF(AND(S$4&lt;=$G11,S$4+6&gt;=$E11),IF(OR($H11&gt;=1,AND($H11&gt;0,S$4+3&lt;$E11+($G11-$E11+1)*$H11)),2,1),IF(AND(Suivi&gt;=S$4,Suivi&lt;S$4+7),3,0))</f>
        <v/>
      </c>
      <c r="T11" s="40">
        <f>IF(AND(T$4&lt;=$G11,T$4+6&gt;=$E11),IF(OR($H11&gt;=1,AND($H11&gt;0,T$4+3&lt;$E11+($G11-$E11+1)*$H11)),2,1),IF(AND(Suivi&gt;=T$4,Suivi&lt;T$4+7),3,0))</f>
        <v/>
      </c>
      <c r="U11" s="40">
        <f>IF(AND(U$4&lt;=$G11,U$4+6&gt;=$E11),IF(OR($H11&gt;=1,AND($H11&gt;0,U$4+3&lt;$E11+($G11-$E11+1)*$H11)),2,1),IF(AND(Suivi&gt;=U$4,Suivi&lt;U$4+7),3,0))</f>
        <v/>
      </c>
      <c r="V11" s="40">
        <f>IF(AND(V$4&lt;=$G11,V$4+6&gt;=$E11),IF(OR($H11&gt;=1,AND($H11&gt;0,V$4+3&lt;$E11+($G11-$E11+1)*$H11)),2,1),IF(AND(Suivi&gt;=V$4,Suivi&lt;V$4+7),3,0))</f>
        <v/>
      </c>
      <c r="W11" s="40">
        <f>IF(AND(W$4&lt;=$G11,W$4+6&gt;=$E11),IF(OR($H11&gt;=1,AND($H11&gt;0,W$4+3&lt;$E11+($G11-$E11+1)*$H11)),2,1),IF(AND(Suivi&gt;=W$4,Suivi&lt;W$4+7),3,0))</f>
        <v/>
      </c>
      <c r="X11" s="40">
        <f>IF(AND(X$4&lt;=$G11,X$4+6&gt;=$E11),IF(OR($H11&gt;=1,AND($H11&gt;0,X$4+3&lt;$E11+($G11-$E11+1)*$H11)),2,1),IF(AND(Suivi&gt;=X$4,Suivi&lt;X$4+7),3,0))</f>
        <v/>
      </c>
      <c r="Y11" s="40">
        <f>IF(AND(Y$4&lt;=$G11,Y$4+6&gt;=$E11),IF(OR($H11&gt;=1,AND($H11&gt;0,Y$4+3&lt;$E11+($G11-$E11+1)*$H11)),2,1),IF(AND(Suivi&gt;=Y$4,Suivi&lt;Y$4+7),3,0))</f>
        <v/>
      </c>
      <c r="Z11" s="40">
        <f>IF(AND(Z$4&lt;=$G11,Z$4+6&gt;=$E11),IF(OR($H11&gt;=1,AND($H11&gt;0,Z$4+3&lt;$E11+($G11-$E11+1)*$H11)),2,1),IF(AND(Suivi&gt;=Z$4,Suivi&lt;Z$4+7),3,0))</f>
        <v/>
      </c>
      <c r="AA11" s="40">
        <f>IF(AND(AA$4&lt;=$G11,AA$4+6&gt;=$E11),IF(OR($H11&gt;=1,AND($H11&gt;0,AA$4+3&lt;$E11+($G11-$E11+1)*$H11)),2,1),IF(AND(Suivi&gt;=AA$4,Suivi&lt;AA$4+7),3,0))</f>
        <v/>
      </c>
      <c r="AB11" s="40">
        <f>IF(AND(AB$4&lt;=$G11,AB$4+6&gt;=$E11),IF(OR($H11&gt;=1,AND($H11&gt;0,AB$4+3&lt;$E11+($G11-$E11+1)*$H11)),2,1),IF(AND(Suivi&gt;=AB$4,Suivi&lt;AB$4+7),3,0))</f>
        <v/>
      </c>
      <c r="AC11" s="40">
        <f>IF(AND(AC$4&lt;=$G11,AC$4+6&gt;=$E11),IF(OR($H11&gt;=1,AND($H11&gt;0,AC$4+3&lt;$E11+($G11-$E11+1)*$H11)),2,1),IF(AND(Suivi&gt;=AC$4,Suivi&lt;AC$4+7),3,0))</f>
        <v/>
      </c>
      <c r="AD11" s="40">
        <f>IF(AND(AD$4&lt;=$G11,AD$4+6&gt;=$E11),IF(OR($H11&gt;=1,AND($H11&gt;0,AD$4+3&lt;$E11+($G11-$E11+1)*$H11)),2,1),IF(AND(Suivi&gt;=AD$4,Suivi&lt;AD$4+7),3,0))</f>
        <v/>
      </c>
      <c r="AE11" s="40">
        <f>IF(AND(AE$4&lt;=$G11,AE$4+6&gt;=$E11),IF(OR($H11&gt;=1,AND($H11&gt;0,AE$4+3&lt;$E11+($G11-$E11+1)*$H11)),2,1),IF(AND(Suivi&gt;=AE$4,Suivi&lt;AE$4+7),3,0))</f>
        <v/>
      </c>
      <c r="AF11" s="40">
        <f>IF(AND(AF$4&lt;=$G11,AF$4+6&gt;=$E11),IF(OR($H11&gt;=1,AND($H11&gt;0,AF$4+3&lt;$E11+($G11-$E11+1)*$H11)),2,1),IF(AND(Suivi&gt;=AF$4,Suivi&lt;AF$4+7),3,0))</f>
        <v/>
      </c>
      <c r="AG11" s="40">
        <f>IF(AND(AG$4&lt;=$G11,AG$4+6&gt;=$E11),IF(OR($H11&gt;=1,AND($H11&gt;0,AG$4+3&lt;$E11+($G11-$E11+1)*$H11)),2,1),IF(AND(Suivi&gt;=AG$4,Suivi&lt;AG$4+7),3,0))</f>
        <v/>
      </c>
      <c r="AH11" s="40">
        <f>IF(AND(AH$4&lt;=$G11,AH$4+6&gt;=$E11),IF(OR($H11&gt;=1,AND($H11&gt;0,AH$4+3&lt;$E11+($G11-$E11+1)*$H11)),2,1),IF(AND(Suivi&gt;=AH$4,Suivi&lt;AH$4+7),3,0))</f>
        <v/>
      </c>
      <c r="AI11" s="40">
        <f>IF(AND(AI$4&lt;=$G11,AI$4+6&gt;=$E11),IF(OR($H11&gt;=1,AND($H11&gt;0,AI$4+3&lt;$E11+($G11-$E11+1)*$H11)),2,1),IF(AND(Suivi&gt;=AI$4,Suivi&lt;AI$4+7),3,0))</f>
        <v/>
      </c>
      <c r="AJ11" s="40">
        <f>IF(AND(AJ$4&lt;=$G11,AJ$4+6&gt;=$E11),IF(OR($H11&gt;=1,AND($H11&gt;0,AJ$4+3&lt;$E11+($G11-$E11+1)*$H11)),2,1),IF(AND(Suivi&gt;=AJ$4,Suivi&lt;AJ$4+7),3,0))</f>
        <v/>
      </c>
      <c r="AK11" s="40">
        <f>IF(AND(AK$4&lt;=$G11,AK$4+6&gt;=$E11),IF(OR($H11&gt;=1,AND($H11&gt;0,AK$4+3&lt;$E11+($G11-$E11+1)*$H11)),2,1),IF(AND(Suivi&gt;=AK$4,Suivi&lt;AK$4+7),3,0))</f>
        <v/>
      </c>
      <c r="AL11" s="40">
        <f>IF(AND(AL$4&lt;=$G11,AL$4+6&gt;=$E11),IF(OR($H11&gt;=1,AND($H11&gt;0,AL$4+3&lt;$E11+($G11-$E11+1)*$H11)),2,1),IF(AND(Suivi&gt;=AL$4,Suivi&lt;AL$4+7),3,0))</f>
        <v/>
      </c>
      <c r="AM11" s="40">
        <f>IF(AND(AM$4&lt;=$G11,AM$4+6&gt;=$E11),IF(OR($H11&gt;=1,AND($H11&gt;0,AM$4+3&lt;$E11+($G11-$E11+1)*$H11)),2,1),IF(AND(Suivi&gt;=AM$4,Suivi&lt;AM$4+7),3,0))</f>
        <v/>
      </c>
      <c r="AN11" s="40">
        <f>IF(AND(AN$4&lt;=$G11,AN$4+6&gt;=$E11),IF(OR($H11&gt;=1,AND($H11&gt;0,AN$4+3&lt;$E11+($G11-$E11+1)*$H11)),2,1),IF(AND(Suivi&gt;=AN$4,Suivi&lt;AN$4+7),3,0))</f>
        <v/>
      </c>
      <c r="AO11" s="40">
        <f>IF(AND(AO$4&lt;=$G11,AO$4+6&gt;=$E11),IF(OR($H11&gt;=1,AND($H11&gt;0,AO$4+3&lt;$E11+($G11-$E11+1)*$H11)),2,1),IF(AND(Suivi&gt;=AO$4,Suivi&lt;AO$4+7),3,0))</f>
        <v/>
      </c>
      <c r="AP11" s="40">
        <f>IF(AND(AP$4&lt;=$G11,AP$4+6&gt;=$E11),IF(OR($H11&gt;=1,AND($H11&gt;0,AP$4+3&lt;$E11+($G11-$E11+1)*$H11)),2,1),IF(AND(Suivi&gt;=AP$4,Suivi&lt;AP$4+7),3,0))</f>
        <v/>
      </c>
      <c r="AQ11" s="40">
        <f>IF(AND(AQ$4&lt;=$G11,AQ$4+6&gt;=$E11),IF(OR($H11&gt;=1,AND($H11&gt;0,AQ$4+3&lt;$E11+($G11-$E11+1)*$H11)),2,1),IF(AND(Suivi&gt;=AQ$4,Suivi&lt;AQ$4+7),3,0))</f>
        <v/>
      </c>
      <c r="AR11" s="40">
        <f>IF(AND(AR$4&lt;=$G11,AR$4+6&gt;=$E11),IF(OR($H11&gt;=1,AND($H11&gt;0,AR$4+3&lt;$E11+($G11-$E11+1)*$H11)),2,1),IF(AND(Suivi&gt;=AR$4,Suivi&lt;AR$4+7),3,0))</f>
        <v/>
      </c>
      <c r="AS11" s="40">
        <f>IF(AND(AS$4&lt;=$G11,AS$4+6&gt;=$E11),IF(OR($H11&gt;=1,AND($H11&gt;0,AS$4+3&lt;$E11+($G11-$E11+1)*$H11)),2,1),IF(AND(Suivi&gt;=AS$4,Suivi&lt;AS$4+7),3,0))</f>
        <v/>
      </c>
      <c r="AT11" s="40">
        <f>IF(AND(AT$4&lt;=$G11,AT$4+6&gt;=$E11),IF(OR($H11&gt;=1,AND($H11&gt;0,AT$4+3&lt;$E11+($G11-$E11+1)*$H11)),2,1),IF(AND(Suivi&gt;=AT$4,Suivi&lt;AT$4+7),3,0))</f>
        <v/>
      </c>
      <c r="AU11" s="40">
        <f>IF(AND(AU$4&lt;=$G11,AU$4+6&gt;=$E11),IF(OR($H11&gt;=1,AND($H11&gt;0,AU$4+3&lt;$E11+($G11-$E11+1)*$H11)),2,1),IF(AND(Suivi&gt;=AU$4,Suivi&lt;AU$4+7),3,0))</f>
        <v/>
      </c>
      <c r="AV11" s="40">
        <f>IF(AND(AV$4&lt;=$G11,AV$4+6&gt;=$E11),IF(OR($H11&gt;=1,AND($H11&gt;0,AV$4+3&lt;$E11+($G11-$E11+1)*$H11)),2,1),IF(AND(Suivi&gt;=AV$4,Suivi&lt;AV$4+7),3,0))</f>
        <v/>
      </c>
      <c r="AW11" s="40">
        <f>IF(AND(AW$4&lt;=$G11,AW$4+6&gt;=$E11),IF(OR($H11&gt;=1,AND($H11&gt;0,AW$4+3&lt;$E11+($G11-$E11+1)*$H11)),2,1),IF(AND(Suivi&gt;=AW$4,Suivi&lt;AW$4+7),3,0))</f>
        <v/>
      </c>
      <c r="AX11" s="40">
        <f>IF(AND(AX$4&lt;=$G11,AX$4+6&gt;=$E11),IF(OR($H11&gt;=1,AND($H11&gt;0,AX$4+3&lt;$E11+($G11-$E11+1)*$H11)),2,1),IF(AND(Suivi&gt;=AX$4,Suivi&lt;AX$4+7),3,0))</f>
        <v/>
      </c>
      <c r="AY11" s="40">
        <f>IF(AND(AY$4&lt;=$G11,AY$4+6&gt;=$E11),IF(OR($H11&gt;=1,AND($H11&gt;0,AY$4+3&lt;$E11+($G11-$E11+1)*$H11)),2,1),IF(AND(Suivi&gt;=AY$4,Suivi&lt;AY$4+7),3,0))</f>
        <v/>
      </c>
      <c r="AZ11" s="40">
        <f>IF(AND(AZ$4&lt;=$G11,AZ$4+6&gt;=$E11),IF(OR($H11&gt;=1,AND($H11&gt;0,AZ$4+3&lt;$E11+($G11-$E11+1)*$H11)),2,1),IF(AND(Suivi&gt;=AZ$4,Suivi&lt;AZ$4+7),3,0))</f>
        <v/>
      </c>
      <c r="BA11" s="40">
        <f>IF(AND(BA$4&lt;=$G11,BA$4+6&gt;=$E11),IF(OR($H11&gt;=1,AND($H11&gt;0,BA$4+3&lt;$E11+($G11-$E11+1)*$H11)),2,1),IF(AND(Suivi&gt;=BA$4,Suivi&lt;BA$4+7),3,0))</f>
        <v/>
      </c>
      <c r="BB11" s="40">
        <f>IF(AND(BB$4&lt;=$G11,BB$4+6&gt;=$E11),IF(OR($H11&gt;=1,AND($H11&gt;0,BB$4+3&lt;$E11+($G11-$E11+1)*$H11)),2,1),IF(AND(Suivi&gt;=BB$4,Suivi&lt;BB$4+7),3,0))</f>
        <v/>
      </c>
      <c r="BC11" s="40">
        <f>IF(AND(BC$4&lt;=$G11,BC$4+6&gt;=$E11),IF(OR($H11&gt;=1,AND($H11&gt;0,BC$4+3&lt;$E11+($G11-$E11+1)*$H11)),2,1),IF(AND(Suivi&gt;=BC$4,Suivi&lt;BC$4+7),3,0))</f>
        <v/>
      </c>
      <c r="BD11" s="40">
        <f>IF(AND(BD$4&lt;=$G11,BD$4+6&gt;=$E11),IF(OR($H11&gt;=1,AND($H11&gt;0,BD$4+3&lt;$E11+($G11-$E11+1)*$H11)),2,1),IF(AND(Suivi&gt;=BD$4,Suivi&lt;BD$4+7),3,0))</f>
        <v/>
      </c>
      <c r="BE11" s="40">
        <f>IF(AND(BE$4&lt;=$G11,BE$4+6&gt;=$E11),IF(OR($H11&gt;=1,AND($H11&gt;0,BE$4+3&lt;$E11+($G11-$E11+1)*$H11)),2,1),IF(AND(Suivi&gt;=BE$4,Suivi&lt;BE$4+7),3,0))</f>
        <v/>
      </c>
      <c r="BF11" s="40">
        <f>IF(AND(BF$4&lt;=$G11,BF$4+6&gt;=$E11),IF(OR($H11&gt;=1,AND($H11&gt;0,BF$4+3&lt;$E11+($G11-$E11+1)*$H11)),2,1),IF(AND(Suivi&gt;=BF$4,Suivi&lt;BF$4+7),3,0))</f>
        <v/>
      </c>
      <c r="BG11" s="40">
        <f>IF(AND(BG$4&lt;=$G11,BG$4+6&gt;=$E11),IF(OR($H11&gt;=1,AND($H11&gt;0,BG$4+3&lt;$E11+($G11-$E11+1)*$H11)),2,1),IF(AND(Suivi&gt;=BG$4,Suivi&lt;BG$4+7),3,0))</f>
        <v/>
      </c>
      <c r="BH11" s="40">
        <f>IF(AND(BH$4&lt;=$G11,BH$4+6&gt;=$E11),IF(OR($H11&gt;=1,AND($H11&gt;0,BH$4+3&lt;$E11+($G11-$E11+1)*$H11)),2,1),IF(AND(Suivi&gt;=BH$4,Suivi&lt;BH$4+7),3,0))</f>
        <v/>
      </c>
      <c r="BI11" s="40">
        <f>IF(AND(BI$4&lt;=$G11,BI$4+6&gt;=$E11),IF(OR($H11&gt;=1,AND($H11&gt;0,BI$4+3&lt;$E11+($G11-$E11+1)*$H11)),2,1),IF(AND(Suivi&gt;=BI$4,Suivi&lt;BI$4+7),3,0))</f>
        <v/>
      </c>
      <c r="BJ11" s="40">
        <f>IF(AND(BJ$4&lt;=$G11,BJ$4+6&gt;=$E11),IF(OR($H11&gt;=1,AND($H11&gt;0,BJ$4+3&lt;$E11+($G11-$E11+1)*$H11)),2,1),IF(AND(Suivi&gt;=BJ$4,Suivi&lt;BJ$4+7),3,0))</f>
        <v/>
      </c>
      <c r="BK11" s="40">
        <f>IF(AND(BK$4&lt;=$G11,BK$4+6&gt;=$E11),IF(OR($H11&gt;=1,AND($H11&gt;0,BK$4+3&lt;$E11+($G11-$E11+1)*$H11)),2,1),IF(AND(Suivi&gt;=BK$4,Suivi&lt;BK$4+7),3,0))</f>
        <v/>
      </c>
      <c r="BL11" s="40">
        <f>IF(AND(BL$4&lt;=$G11,BL$4+6&gt;=$E11),IF(OR($H11&gt;=1,AND($H11&gt;0,BL$4+3&lt;$E11+($G11-$E11+1)*$H11)),2,1),IF(AND(Suivi&gt;=BL$4,Suivi&lt;BL$4+7),3,0))</f>
        <v/>
      </c>
      <c r="BM11" s="40">
        <f>IF(AND(BM$4&lt;=$G11,BM$4+6&gt;=$E11),IF(OR($H11&gt;=1,AND($H11&gt;0,BM$4+3&lt;$E11+($G11-$E11+1)*$H11)),2,1),IF(AND(Suivi&gt;=BM$4,Suivi&lt;BM$4+7),3,0))</f>
        <v/>
      </c>
      <c r="BN11" s="40">
        <f>IF(AND(BN$4&lt;=$G11,BN$4+6&gt;=$E11),IF(OR($H11&gt;=1,AND($H11&gt;0,BN$4+3&lt;$E11+($G11-$E11+1)*$H11)),2,1),IF(AND(Suivi&gt;=BN$4,Suivi&lt;BN$4+7),3,0))</f>
        <v/>
      </c>
      <c r="BO11" s="40">
        <f>IF(AND(BO$4&lt;=$G11,BO$4+6&gt;=$E11),IF(OR($H11&gt;=1,AND($H11&gt;0,BO$4+3&lt;$E11+($G11-$E11+1)*$H11)),2,1),IF(AND(Suivi&gt;=BO$4,Suivi&lt;BO$4+7),3,0))</f>
        <v/>
      </c>
    </row>
    <row r="12" ht="20" customHeight="1">
      <c r="A12" s="36" t="n">
        <v>8</v>
      </c>
      <c r="B12" s="36" t="inlineStr">
        <is>
          <t>الجدران والبناء الداخلي</t>
        </is>
      </c>
      <c r="C12" s="36" t="inlineStr">
        <is>
          <t>بناء وعزل</t>
        </is>
      </c>
      <c r="D12" s="36" t="inlineStr">
        <is>
          <t>فريق البناء</t>
        </is>
      </c>
      <c r="E12" s="37" t="n">
        <v>46228</v>
      </c>
      <c r="F12" s="36" t="n">
        <v>45</v>
      </c>
      <c r="G12" s="37">
        <f>WORKDAY.INTL(E12,F12-1,Repos)</f>
        <v/>
      </c>
      <c r="H12" s="38" t="n">
        <v>1</v>
      </c>
      <c r="I12" s="36">
        <f>IF(H12&gt;=1,"مكتملة",IF(AND(Suivi&gt;G12,H12&lt;1),"متأخرة",IF(Suivi&lt;E12,"لم تبدأ",IF(H12+0.15&lt;(Suivi-E12)/MAX(1,G12-E12),"تحتاج متابعة","جارية"))))</f>
        <v/>
      </c>
      <c r="J12" s="39" t="n">
        <v>1850000</v>
      </c>
      <c r="L12" s="40">
        <f>IF(AND(L$4&lt;=$G12,L$4+6&gt;=$E12),IF(OR($H12&gt;=1,AND($H12&gt;0,L$4+3&lt;$E12+($G12-$E12+1)*$H12)),2,1),IF(AND(Suivi&gt;=L$4,Suivi&lt;L$4+7),3,0))</f>
        <v/>
      </c>
      <c r="M12" s="40">
        <f>IF(AND(M$4&lt;=$G12,M$4+6&gt;=$E12),IF(OR($H12&gt;=1,AND($H12&gt;0,M$4+3&lt;$E12+($G12-$E12+1)*$H12)),2,1),IF(AND(Suivi&gt;=M$4,Suivi&lt;M$4+7),3,0))</f>
        <v/>
      </c>
      <c r="N12" s="40">
        <f>IF(AND(N$4&lt;=$G12,N$4+6&gt;=$E12),IF(OR($H12&gt;=1,AND($H12&gt;0,N$4+3&lt;$E12+($G12-$E12+1)*$H12)),2,1),IF(AND(Suivi&gt;=N$4,Suivi&lt;N$4+7),3,0))</f>
        <v/>
      </c>
      <c r="O12" s="40">
        <f>IF(AND(O$4&lt;=$G12,O$4+6&gt;=$E12),IF(OR($H12&gt;=1,AND($H12&gt;0,O$4+3&lt;$E12+($G12-$E12+1)*$H12)),2,1),IF(AND(Suivi&gt;=O$4,Suivi&lt;O$4+7),3,0))</f>
        <v/>
      </c>
      <c r="P12" s="40">
        <f>IF(AND(P$4&lt;=$G12,P$4+6&gt;=$E12),IF(OR($H12&gt;=1,AND($H12&gt;0,P$4+3&lt;$E12+($G12-$E12+1)*$H12)),2,1),IF(AND(Suivi&gt;=P$4,Suivi&lt;P$4+7),3,0))</f>
        <v/>
      </c>
      <c r="Q12" s="40">
        <f>IF(AND(Q$4&lt;=$G12,Q$4+6&gt;=$E12),IF(OR($H12&gt;=1,AND($H12&gt;0,Q$4+3&lt;$E12+($G12-$E12+1)*$H12)),2,1),IF(AND(Suivi&gt;=Q$4,Suivi&lt;Q$4+7),3,0))</f>
        <v/>
      </c>
      <c r="R12" s="40">
        <f>IF(AND(R$4&lt;=$G12,R$4+6&gt;=$E12),IF(OR($H12&gt;=1,AND($H12&gt;0,R$4+3&lt;$E12+($G12-$E12+1)*$H12)),2,1),IF(AND(Suivi&gt;=R$4,Suivi&lt;R$4+7),3,0))</f>
        <v/>
      </c>
      <c r="S12" s="40">
        <f>IF(AND(S$4&lt;=$G12,S$4+6&gt;=$E12),IF(OR($H12&gt;=1,AND($H12&gt;0,S$4+3&lt;$E12+($G12-$E12+1)*$H12)),2,1),IF(AND(Suivi&gt;=S$4,Suivi&lt;S$4+7),3,0))</f>
        <v/>
      </c>
      <c r="T12" s="40">
        <f>IF(AND(T$4&lt;=$G12,T$4+6&gt;=$E12),IF(OR($H12&gt;=1,AND($H12&gt;0,T$4+3&lt;$E12+($G12-$E12+1)*$H12)),2,1),IF(AND(Suivi&gt;=T$4,Suivi&lt;T$4+7),3,0))</f>
        <v/>
      </c>
      <c r="U12" s="40">
        <f>IF(AND(U$4&lt;=$G12,U$4+6&gt;=$E12),IF(OR($H12&gt;=1,AND($H12&gt;0,U$4+3&lt;$E12+($G12-$E12+1)*$H12)),2,1),IF(AND(Suivi&gt;=U$4,Suivi&lt;U$4+7),3,0))</f>
        <v/>
      </c>
      <c r="V12" s="40">
        <f>IF(AND(V$4&lt;=$G12,V$4+6&gt;=$E12),IF(OR($H12&gt;=1,AND($H12&gt;0,V$4+3&lt;$E12+($G12-$E12+1)*$H12)),2,1),IF(AND(Suivi&gt;=V$4,Suivi&lt;V$4+7),3,0))</f>
        <v/>
      </c>
      <c r="W12" s="40">
        <f>IF(AND(W$4&lt;=$G12,W$4+6&gt;=$E12),IF(OR($H12&gt;=1,AND($H12&gt;0,W$4+3&lt;$E12+($G12-$E12+1)*$H12)),2,1),IF(AND(Suivi&gt;=W$4,Suivi&lt;W$4+7),3,0))</f>
        <v/>
      </c>
      <c r="X12" s="40">
        <f>IF(AND(X$4&lt;=$G12,X$4+6&gt;=$E12),IF(OR($H12&gt;=1,AND($H12&gt;0,X$4+3&lt;$E12+($G12-$E12+1)*$H12)),2,1),IF(AND(Suivi&gt;=X$4,Suivi&lt;X$4+7),3,0))</f>
        <v/>
      </c>
      <c r="Y12" s="40">
        <f>IF(AND(Y$4&lt;=$G12,Y$4+6&gt;=$E12),IF(OR($H12&gt;=1,AND($H12&gt;0,Y$4+3&lt;$E12+($G12-$E12+1)*$H12)),2,1),IF(AND(Suivi&gt;=Y$4,Suivi&lt;Y$4+7),3,0))</f>
        <v/>
      </c>
      <c r="Z12" s="40">
        <f>IF(AND(Z$4&lt;=$G12,Z$4+6&gt;=$E12),IF(OR($H12&gt;=1,AND($H12&gt;0,Z$4+3&lt;$E12+($G12-$E12+1)*$H12)),2,1),IF(AND(Suivi&gt;=Z$4,Suivi&lt;Z$4+7),3,0))</f>
        <v/>
      </c>
      <c r="AA12" s="40">
        <f>IF(AND(AA$4&lt;=$G12,AA$4+6&gt;=$E12),IF(OR($H12&gt;=1,AND($H12&gt;0,AA$4+3&lt;$E12+($G12-$E12+1)*$H12)),2,1),IF(AND(Suivi&gt;=AA$4,Suivi&lt;AA$4+7),3,0))</f>
        <v/>
      </c>
      <c r="AB12" s="40">
        <f>IF(AND(AB$4&lt;=$G12,AB$4+6&gt;=$E12),IF(OR($H12&gt;=1,AND($H12&gt;0,AB$4+3&lt;$E12+($G12-$E12+1)*$H12)),2,1),IF(AND(Suivi&gt;=AB$4,Suivi&lt;AB$4+7),3,0))</f>
        <v/>
      </c>
      <c r="AC12" s="40">
        <f>IF(AND(AC$4&lt;=$G12,AC$4+6&gt;=$E12),IF(OR($H12&gt;=1,AND($H12&gt;0,AC$4+3&lt;$E12+($G12-$E12+1)*$H12)),2,1),IF(AND(Suivi&gt;=AC$4,Suivi&lt;AC$4+7),3,0))</f>
        <v/>
      </c>
      <c r="AD12" s="40">
        <f>IF(AND(AD$4&lt;=$G12,AD$4+6&gt;=$E12),IF(OR($H12&gt;=1,AND($H12&gt;0,AD$4+3&lt;$E12+($G12-$E12+1)*$H12)),2,1),IF(AND(Suivi&gt;=AD$4,Suivi&lt;AD$4+7),3,0))</f>
        <v/>
      </c>
      <c r="AE12" s="40">
        <f>IF(AND(AE$4&lt;=$G12,AE$4+6&gt;=$E12),IF(OR($H12&gt;=1,AND($H12&gt;0,AE$4+3&lt;$E12+($G12-$E12+1)*$H12)),2,1),IF(AND(Suivi&gt;=AE$4,Suivi&lt;AE$4+7),3,0))</f>
        <v/>
      </c>
      <c r="AF12" s="40">
        <f>IF(AND(AF$4&lt;=$G12,AF$4+6&gt;=$E12),IF(OR($H12&gt;=1,AND($H12&gt;0,AF$4+3&lt;$E12+($G12-$E12+1)*$H12)),2,1),IF(AND(Suivi&gt;=AF$4,Suivi&lt;AF$4+7),3,0))</f>
        <v/>
      </c>
      <c r="AG12" s="40">
        <f>IF(AND(AG$4&lt;=$G12,AG$4+6&gt;=$E12),IF(OR($H12&gt;=1,AND($H12&gt;0,AG$4+3&lt;$E12+($G12-$E12+1)*$H12)),2,1),IF(AND(Suivi&gt;=AG$4,Suivi&lt;AG$4+7),3,0))</f>
        <v/>
      </c>
      <c r="AH12" s="40">
        <f>IF(AND(AH$4&lt;=$G12,AH$4+6&gt;=$E12),IF(OR($H12&gt;=1,AND($H12&gt;0,AH$4+3&lt;$E12+($G12-$E12+1)*$H12)),2,1),IF(AND(Suivi&gt;=AH$4,Suivi&lt;AH$4+7),3,0))</f>
        <v/>
      </c>
      <c r="AI12" s="40">
        <f>IF(AND(AI$4&lt;=$G12,AI$4+6&gt;=$E12),IF(OR($H12&gt;=1,AND($H12&gt;0,AI$4+3&lt;$E12+($G12-$E12+1)*$H12)),2,1),IF(AND(Suivi&gt;=AI$4,Suivi&lt;AI$4+7),3,0))</f>
        <v/>
      </c>
      <c r="AJ12" s="40">
        <f>IF(AND(AJ$4&lt;=$G12,AJ$4+6&gt;=$E12),IF(OR($H12&gt;=1,AND($H12&gt;0,AJ$4+3&lt;$E12+($G12-$E12+1)*$H12)),2,1),IF(AND(Suivi&gt;=AJ$4,Suivi&lt;AJ$4+7),3,0))</f>
        <v/>
      </c>
      <c r="AK12" s="40">
        <f>IF(AND(AK$4&lt;=$G12,AK$4+6&gt;=$E12),IF(OR($H12&gt;=1,AND($H12&gt;0,AK$4+3&lt;$E12+($G12-$E12+1)*$H12)),2,1),IF(AND(Suivi&gt;=AK$4,Suivi&lt;AK$4+7),3,0))</f>
        <v/>
      </c>
      <c r="AL12" s="40">
        <f>IF(AND(AL$4&lt;=$G12,AL$4+6&gt;=$E12),IF(OR($H12&gt;=1,AND($H12&gt;0,AL$4+3&lt;$E12+($G12-$E12+1)*$H12)),2,1),IF(AND(Suivi&gt;=AL$4,Suivi&lt;AL$4+7),3,0))</f>
        <v/>
      </c>
      <c r="AM12" s="40">
        <f>IF(AND(AM$4&lt;=$G12,AM$4+6&gt;=$E12),IF(OR($H12&gt;=1,AND($H12&gt;0,AM$4+3&lt;$E12+($G12-$E12+1)*$H12)),2,1),IF(AND(Suivi&gt;=AM$4,Suivi&lt;AM$4+7),3,0))</f>
        <v/>
      </c>
      <c r="AN12" s="40">
        <f>IF(AND(AN$4&lt;=$G12,AN$4+6&gt;=$E12),IF(OR($H12&gt;=1,AND($H12&gt;0,AN$4+3&lt;$E12+($G12-$E12+1)*$H12)),2,1),IF(AND(Suivi&gt;=AN$4,Suivi&lt;AN$4+7),3,0))</f>
        <v/>
      </c>
      <c r="AO12" s="40">
        <f>IF(AND(AO$4&lt;=$G12,AO$4+6&gt;=$E12),IF(OR($H12&gt;=1,AND($H12&gt;0,AO$4+3&lt;$E12+($G12-$E12+1)*$H12)),2,1),IF(AND(Suivi&gt;=AO$4,Suivi&lt;AO$4+7),3,0))</f>
        <v/>
      </c>
      <c r="AP12" s="40">
        <f>IF(AND(AP$4&lt;=$G12,AP$4+6&gt;=$E12),IF(OR($H12&gt;=1,AND($H12&gt;0,AP$4+3&lt;$E12+($G12-$E12+1)*$H12)),2,1),IF(AND(Suivi&gt;=AP$4,Suivi&lt;AP$4+7),3,0))</f>
        <v/>
      </c>
      <c r="AQ12" s="40">
        <f>IF(AND(AQ$4&lt;=$G12,AQ$4+6&gt;=$E12),IF(OR($H12&gt;=1,AND($H12&gt;0,AQ$4+3&lt;$E12+($G12-$E12+1)*$H12)),2,1),IF(AND(Suivi&gt;=AQ$4,Suivi&lt;AQ$4+7),3,0))</f>
        <v/>
      </c>
      <c r="AR12" s="40">
        <f>IF(AND(AR$4&lt;=$G12,AR$4+6&gt;=$E12),IF(OR($H12&gt;=1,AND($H12&gt;0,AR$4+3&lt;$E12+($G12-$E12+1)*$H12)),2,1),IF(AND(Suivi&gt;=AR$4,Suivi&lt;AR$4+7),3,0))</f>
        <v/>
      </c>
      <c r="AS12" s="40">
        <f>IF(AND(AS$4&lt;=$G12,AS$4+6&gt;=$E12),IF(OR($H12&gt;=1,AND($H12&gt;0,AS$4+3&lt;$E12+($G12-$E12+1)*$H12)),2,1),IF(AND(Suivi&gt;=AS$4,Suivi&lt;AS$4+7),3,0))</f>
        <v/>
      </c>
      <c r="AT12" s="40">
        <f>IF(AND(AT$4&lt;=$G12,AT$4+6&gt;=$E12),IF(OR($H12&gt;=1,AND($H12&gt;0,AT$4+3&lt;$E12+($G12-$E12+1)*$H12)),2,1),IF(AND(Suivi&gt;=AT$4,Suivi&lt;AT$4+7),3,0))</f>
        <v/>
      </c>
      <c r="AU12" s="40">
        <f>IF(AND(AU$4&lt;=$G12,AU$4+6&gt;=$E12),IF(OR($H12&gt;=1,AND($H12&gt;0,AU$4+3&lt;$E12+($G12-$E12+1)*$H12)),2,1),IF(AND(Suivi&gt;=AU$4,Suivi&lt;AU$4+7),3,0))</f>
        <v/>
      </c>
      <c r="AV12" s="40">
        <f>IF(AND(AV$4&lt;=$G12,AV$4+6&gt;=$E12),IF(OR($H12&gt;=1,AND($H12&gt;0,AV$4+3&lt;$E12+($G12-$E12+1)*$H12)),2,1),IF(AND(Suivi&gt;=AV$4,Suivi&lt;AV$4+7),3,0))</f>
        <v/>
      </c>
      <c r="AW12" s="40">
        <f>IF(AND(AW$4&lt;=$G12,AW$4+6&gt;=$E12),IF(OR($H12&gt;=1,AND($H12&gt;0,AW$4+3&lt;$E12+($G12-$E12+1)*$H12)),2,1),IF(AND(Suivi&gt;=AW$4,Suivi&lt;AW$4+7),3,0))</f>
        <v/>
      </c>
      <c r="AX12" s="40">
        <f>IF(AND(AX$4&lt;=$G12,AX$4+6&gt;=$E12),IF(OR($H12&gt;=1,AND($H12&gt;0,AX$4+3&lt;$E12+($G12-$E12+1)*$H12)),2,1),IF(AND(Suivi&gt;=AX$4,Suivi&lt;AX$4+7),3,0))</f>
        <v/>
      </c>
      <c r="AY12" s="40">
        <f>IF(AND(AY$4&lt;=$G12,AY$4+6&gt;=$E12),IF(OR($H12&gt;=1,AND($H12&gt;0,AY$4+3&lt;$E12+($G12-$E12+1)*$H12)),2,1),IF(AND(Suivi&gt;=AY$4,Suivi&lt;AY$4+7),3,0))</f>
        <v/>
      </c>
      <c r="AZ12" s="40">
        <f>IF(AND(AZ$4&lt;=$G12,AZ$4+6&gt;=$E12),IF(OR($H12&gt;=1,AND($H12&gt;0,AZ$4+3&lt;$E12+($G12-$E12+1)*$H12)),2,1),IF(AND(Suivi&gt;=AZ$4,Suivi&lt;AZ$4+7),3,0))</f>
        <v/>
      </c>
      <c r="BA12" s="40">
        <f>IF(AND(BA$4&lt;=$G12,BA$4+6&gt;=$E12),IF(OR($H12&gt;=1,AND($H12&gt;0,BA$4+3&lt;$E12+($G12-$E12+1)*$H12)),2,1),IF(AND(Suivi&gt;=BA$4,Suivi&lt;BA$4+7),3,0))</f>
        <v/>
      </c>
      <c r="BB12" s="40">
        <f>IF(AND(BB$4&lt;=$G12,BB$4+6&gt;=$E12),IF(OR($H12&gt;=1,AND($H12&gt;0,BB$4+3&lt;$E12+($G12-$E12+1)*$H12)),2,1),IF(AND(Suivi&gt;=BB$4,Suivi&lt;BB$4+7),3,0))</f>
        <v/>
      </c>
      <c r="BC12" s="40">
        <f>IF(AND(BC$4&lt;=$G12,BC$4+6&gt;=$E12),IF(OR($H12&gt;=1,AND($H12&gt;0,BC$4+3&lt;$E12+($G12-$E12+1)*$H12)),2,1),IF(AND(Suivi&gt;=BC$4,Suivi&lt;BC$4+7),3,0))</f>
        <v/>
      </c>
      <c r="BD12" s="40">
        <f>IF(AND(BD$4&lt;=$G12,BD$4+6&gt;=$E12),IF(OR($H12&gt;=1,AND($H12&gt;0,BD$4+3&lt;$E12+($G12-$E12+1)*$H12)),2,1),IF(AND(Suivi&gt;=BD$4,Suivi&lt;BD$4+7),3,0))</f>
        <v/>
      </c>
      <c r="BE12" s="40">
        <f>IF(AND(BE$4&lt;=$G12,BE$4+6&gt;=$E12),IF(OR($H12&gt;=1,AND($H12&gt;0,BE$4+3&lt;$E12+($G12-$E12+1)*$H12)),2,1),IF(AND(Suivi&gt;=BE$4,Suivi&lt;BE$4+7),3,0))</f>
        <v/>
      </c>
      <c r="BF12" s="40">
        <f>IF(AND(BF$4&lt;=$G12,BF$4+6&gt;=$E12),IF(OR($H12&gt;=1,AND($H12&gt;0,BF$4+3&lt;$E12+($G12-$E12+1)*$H12)),2,1),IF(AND(Suivi&gt;=BF$4,Suivi&lt;BF$4+7),3,0))</f>
        <v/>
      </c>
      <c r="BG12" s="40">
        <f>IF(AND(BG$4&lt;=$G12,BG$4+6&gt;=$E12),IF(OR($H12&gt;=1,AND($H12&gt;0,BG$4+3&lt;$E12+($G12-$E12+1)*$H12)),2,1),IF(AND(Suivi&gt;=BG$4,Suivi&lt;BG$4+7),3,0))</f>
        <v/>
      </c>
      <c r="BH12" s="40">
        <f>IF(AND(BH$4&lt;=$G12,BH$4+6&gt;=$E12),IF(OR($H12&gt;=1,AND($H12&gt;0,BH$4+3&lt;$E12+($G12-$E12+1)*$H12)),2,1),IF(AND(Suivi&gt;=BH$4,Suivi&lt;BH$4+7),3,0))</f>
        <v/>
      </c>
      <c r="BI12" s="40">
        <f>IF(AND(BI$4&lt;=$G12,BI$4+6&gt;=$E12),IF(OR($H12&gt;=1,AND($H12&gt;0,BI$4+3&lt;$E12+($G12-$E12+1)*$H12)),2,1),IF(AND(Suivi&gt;=BI$4,Suivi&lt;BI$4+7),3,0))</f>
        <v/>
      </c>
      <c r="BJ12" s="40">
        <f>IF(AND(BJ$4&lt;=$G12,BJ$4+6&gt;=$E12),IF(OR($H12&gt;=1,AND($H12&gt;0,BJ$4+3&lt;$E12+($G12-$E12+1)*$H12)),2,1),IF(AND(Suivi&gt;=BJ$4,Suivi&lt;BJ$4+7),3,0))</f>
        <v/>
      </c>
      <c r="BK12" s="40">
        <f>IF(AND(BK$4&lt;=$G12,BK$4+6&gt;=$E12),IF(OR($H12&gt;=1,AND($H12&gt;0,BK$4+3&lt;$E12+($G12-$E12+1)*$H12)),2,1),IF(AND(Suivi&gt;=BK$4,Suivi&lt;BK$4+7),3,0))</f>
        <v/>
      </c>
      <c r="BL12" s="40">
        <f>IF(AND(BL$4&lt;=$G12,BL$4+6&gt;=$E12),IF(OR($H12&gt;=1,AND($H12&gt;0,BL$4+3&lt;$E12+($G12-$E12+1)*$H12)),2,1),IF(AND(Suivi&gt;=BL$4,Suivi&lt;BL$4+7),3,0))</f>
        <v/>
      </c>
      <c r="BM12" s="40">
        <f>IF(AND(BM$4&lt;=$G12,BM$4+6&gt;=$E12),IF(OR($H12&gt;=1,AND($H12&gt;0,BM$4+3&lt;$E12+($G12-$E12+1)*$H12)),2,1),IF(AND(Suivi&gt;=BM$4,Suivi&lt;BM$4+7),3,0))</f>
        <v/>
      </c>
      <c r="BN12" s="40">
        <f>IF(AND(BN$4&lt;=$G12,BN$4+6&gt;=$E12),IF(OR($H12&gt;=1,AND($H12&gt;0,BN$4+3&lt;$E12+($G12-$E12+1)*$H12)),2,1),IF(AND(Suivi&gt;=BN$4,Suivi&lt;BN$4+7),3,0))</f>
        <v/>
      </c>
      <c r="BO12" s="40">
        <f>IF(AND(BO$4&lt;=$G12,BO$4+6&gt;=$E12),IF(OR($H12&gt;=1,AND($H12&gt;0,BO$4+3&lt;$E12+($G12-$E12+1)*$H12)),2,1),IF(AND(Suivi&gt;=BO$4,Suivi&lt;BO$4+7),3,0))</f>
        <v/>
      </c>
    </row>
    <row r="13" ht="20" customHeight="1">
      <c r="A13" s="36" t="n">
        <v>9</v>
      </c>
      <c r="B13" s="36" t="inlineStr">
        <is>
          <t>العزل الحراري والمائي للسطح</t>
        </is>
      </c>
      <c r="C13" s="36" t="inlineStr">
        <is>
          <t>بناء وعزل</t>
        </is>
      </c>
      <c r="D13" s="36" t="inlineStr">
        <is>
          <t>مقاول العزل</t>
        </is>
      </c>
      <c r="E13" s="37" t="n">
        <v>46280</v>
      </c>
      <c r="F13" s="36" t="n">
        <v>12</v>
      </c>
      <c r="G13" s="37">
        <f>WORKDAY.INTL(E13,F13-1,Repos)</f>
        <v/>
      </c>
      <c r="H13" s="38" t="n">
        <v>1</v>
      </c>
      <c r="I13" s="36">
        <f>IF(H13&gt;=1,"مكتملة",IF(AND(Suivi&gt;G13,H13&lt;1),"متأخرة",IF(Suivi&lt;E13,"لم تبدأ",IF(H13+0.15&lt;(Suivi-E13)/MAX(1,G13-E13),"تحتاج متابعة","جارية"))))</f>
        <v/>
      </c>
      <c r="J13" s="39" t="n">
        <v>720000</v>
      </c>
      <c r="L13" s="40">
        <f>IF(AND(L$4&lt;=$G13,L$4+6&gt;=$E13),IF(OR($H13&gt;=1,AND($H13&gt;0,L$4+3&lt;$E13+($G13-$E13+1)*$H13)),2,1),IF(AND(Suivi&gt;=L$4,Suivi&lt;L$4+7),3,0))</f>
        <v/>
      </c>
      <c r="M13" s="40">
        <f>IF(AND(M$4&lt;=$G13,M$4+6&gt;=$E13),IF(OR($H13&gt;=1,AND($H13&gt;0,M$4+3&lt;$E13+($G13-$E13+1)*$H13)),2,1),IF(AND(Suivi&gt;=M$4,Suivi&lt;M$4+7),3,0))</f>
        <v/>
      </c>
      <c r="N13" s="40">
        <f>IF(AND(N$4&lt;=$G13,N$4+6&gt;=$E13),IF(OR($H13&gt;=1,AND($H13&gt;0,N$4+3&lt;$E13+($G13-$E13+1)*$H13)),2,1),IF(AND(Suivi&gt;=N$4,Suivi&lt;N$4+7),3,0))</f>
        <v/>
      </c>
      <c r="O13" s="40">
        <f>IF(AND(O$4&lt;=$G13,O$4+6&gt;=$E13),IF(OR($H13&gt;=1,AND($H13&gt;0,O$4+3&lt;$E13+($G13-$E13+1)*$H13)),2,1),IF(AND(Suivi&gt;=O$4,Suivi&lt;O$4+7),3,0))</f>
        <v/>
      </c>
      <c r="P13" s="40">
        <f>IF(AND(P$4&lt;=$G13,P$4+6&gt;=$E13),IF(OR($H13&gt;=1,AND($H13&gt;0,P$4+3&lt;$E13+($G13-$E13+1)*$H13)),2,1),IF(AND(Suivi&gt;=P$4,Suivi&lt;P$4+7),3,0))</f>
        <v/>
      </c>
      <c r="Q13" s="40">
        <f>IF(AND(Q$4&lt;=$G13,Q$4+6&gt;=$E13),IF(OR($H13&gt;=1,AND($H13&gt;0,Q$4+3&lt;$E13+($G13-$E13+1)*$H13)),2,1),IF(AND(Suivi&gt;=Q$4,Suivi&lt;Q$4+7),3,0))</f>
        <v/>
      </c>
      <c r="R13" s="40">
        <f>IF(AND(R$4&lt;=$G13,R$4+6&gt;=$E13),IF(OR($H13&gt;=1,AND($H13&gt;0,R$4+3&lt;$E13+($G13-$E13+1)*$H13)),2,1),IF(AND(Suivi&gt;=R$4,Suivi&lt;R$4+7),3,0))</f>
        <v/>
      </c>
      <c r="S13" s="40">
        <f>IF(AND(S$4&lt;=$G13,S$4+6&gt;=$E13),IF(OR($H13&gt;=1,AND($H13&gt;0,S$4+3&lt;$E13+($G13-$E13+1)*$H13)),2,1),IF(AND(Suivi&gt;=S$4,Suivi&lt;S$4+7),3,0))</f>
        <v/>
      </c>
      <c r="T13" s="40">
        <f>IF(AND(T$4&lt;=$G13,T$4+6&gt;=$E13),IF(OR($H13&gt;=1,AND($H13&gt;0,T$4+3&lt;$E13+($G13-$E13+1)*$H13)),2,1),IF(AND(Suivi&gt;=T$4,Suivi&lt;T$4+7),3,0))</f>
        <v/>
      </c>
      <c r="U13" s="40">
        <f>IF(AND(U$4&lt;=$G13,U$4+6&gt;=$E13),IF(OR($H13&gt;=1,AND($H13&gt;0,U$4+3&lt;$E13+($G13-$E13+1)*$H13)),2,1),IF(AND(Suivi&gt;=U$4,Suivi&lt;U$4+7),3,0))</f>
        <v/>
      </c>
      <c r="V13" s="40">
        <f>IF(AND(V$4&lt;=$G13,V$4+6&gt;=$E13),IF(OR($H13&gt;=1,AND($H13&gt;0,V$4+3&lt;$E13+($G13-$E13+1)*$H13)),2,1),IF(AND(Suivi&gt;=V$4,Suivi&lt;V$4+7),3,0))</f>
        <v/>
      </c>
      <c r="W13" s="40">
        <f>IF(AND(W$4&lt;=$G13,W$4+6&gt;=$E13),IF(OR($H13&gt;=1,AND($H13&gt;0,W$4+3&lt;$E13+($G13-$E13+1)*$H13)),2,1),IF(AND(Suivi&gt;=W$4,Suivi&lt;W$4+7),3,0))</f>
        <v/>
      </c>
      <c r="X13" s="40">
        <f>IF(AND(X$4&lt;=$G13,X$4+6&gt;=$E13),IF(OR($H13&gt;=1,AND($H13&gt;0,X$4+3&lt;$E13+($G13-$E13+1)*$H13)),2,1),IF(AND(Suivi&gt;=X$4,Suivi&lt;X$4+7),3,0))</f>
        <v/>
      </c>
      <c r="Y13" s="40">
        <f>IF(AND(Y$4&lt;=$G13,Y$4+6&gt;=$E13),IF(OR($H13&gt;=1,AND($H13&gt;0,Y$4+3&lt;$E13+($G13-$E13+1)*$H13)),2,1),IF(AND(Suivi&gt;=Y$4,Suivi&lt;Y$4+7),3,0))</f>
        <v/>
      </c>
      <c r="Z13" s="40">
        <f>IF(AND(Z$4&lt;=$G13,Z$4+6&gt;=$E13),IF(OR($H13&gt;=1,AND($H13&gt;0,Z$4+3&lt;$E13+($G13-$E13+1)*$H13)),2,1),IF(AND(Suivi&gt;=Z$4,Suivi&lt;Z$4+7),3,0))</f>
        <v/>
      </c>
      <c r="AA13" s="40">
        <f>IF(AND(AA$4&lt;=$G13,AA$4+6&gt;=$E13),IF(OR($H13&gt;=1,AND($H13&gt;0,AA$4+3&lt;$E13+($G13-$E13+1)*$H13)),2,1),IF(AND(Suivi&gt;=AA$4,Suivi&lt;AA$4+7),3,0))</f>
        <v/>
      </c>
      <c r="AB13" s="40">
        <f>IF(AND(AB$4&lt;=$G13,AB$4+6&gt;=$E13),IF(OR($H13&gt;=1,AND($H13&gt;0,AB$4+3&lt;$E13+($G13-$E13+1)*$H13)),2,1),IF(AND(Suivi&gt;=AB$4,Suivi&lt;AB$4+7),3,0))</f>
        <v/>
      </c>
      <c r="AC13" s="40">
        <f>IF(AND(AC$4&lt;=$G13,AC$4+6&gt;=$E13),IF(OR($H13&gt;=1,AND($H13&gt;0,AC$4+3&lt;$E13+($G13-$E13+1)*$H13)),2,1),IF(AND(Suivi&gt;=AC$4,Suivi&lt;AC$4+7),3,0))</f>
        <v/>
      </c>
      <c r="AD13" s="40">
        <f>IF(AND(AD$4&lt;=$G13,AD$4+6&gt;=$E13),IF(OR($H13&gt;=1,AND($H13&gt;0,AD$4+3&lt;$E13+($G13-$E13+1)*$H13)),2,1),IF(AND(Suivi&gt;=AD$4,Suivi&lt;AD$4+7),3,0))</f>
        <v/>
      </c>
      <c r="AE13" s="40">
        <f>IF(AND(AE$4&lt;=$G13,AE$4+6&gt;=$E13),IF(OR($H13&gt;=1,AND($H13&gt;0,AE$4+3&lt;$E13+($G13-$E13+1)*$H13)),2,1),IF(AND(Suivi&gt;=AE$4,Suivi&lt;AE$4+7),3,0))</f>
        <v/>
      </c>
      <c r="AF13" s="40">
        <f>IF(AND(AF$4&lt;=$G13,AF$4+6&gt;=$E13),IF(OR($H13&gt;=1,AND($H13&gt;0,AF$4+3&lt;$E13+($G13-$E13+1)*$H13)),2,1),IF(AND(Suivi&gt;=AF$4,Suivi&lt;AF$4+7),3,0))</f>
        <v/>
      </c>
      <c r="AG13" s="40">
        <f>IF(AND(AG$4&lt;=$G13,AG$4+6&gt;=$E13),IF(OR($H13&gt;=1,AND($H13&gt;0,AG$4+3&lt;$E13+($G13-$E13+1)*$H13)),2,1),IF(AND(Suivi&gt;=AG$4,Suivi&lt;AG$4+7),3,0))</f>
        <v/>
      </c>
      <c r="AH13" s="40">
        <f>IF(AND(AH$4&lt;=$G13,AH$4+6&gt;=$E13),IF(OR($H13&gt;=1,AND($H13&gt;0,AH$4+3&lt;$E13+($G13-$E13+1)*$H13)),2,1),IF(AND(Suivi&gt;=AH$4,Suivi&lt;AH$4+7),3,0))</f>
        <v/>
      </c>
      <c r="AI13" s="40">
        <f>IF(AND(AI$4&lt;=$G13,AI$4+6&gt;=$E13),IF(OR($H13&gt;=1,AND($H13&gt;0,AI$4+3&lt;$E13+($G13-$E13+1)*$H13)),2,1),IF(AND(Suivi&gt;=AI$4,Suivi&lt;AI$4+7),3,0))</f>
        <v/>
      </c>
      <c r="AJ13" s="40">
        <f>IF(AND(AJ$4&lt;=$G13,AJ$4+6&gt;=$E13),IF(OR($H13&gt;=1,AND($H13&gt;0,AJ$4+3&lt;$E13+($G13-$E13+1)*$H13)),2,1),IF(AND(Suivi&gt;=AJ$4,Suivi&lt;AJ$4+7),3,0))</f>
        <v/>
      </c>
      <c r="AK13" s="40">
        <f>IF(AND(AK$4&lt;=$G13,AK$4+6&gt;=$E13),IF(OR($H13&gt;=1,AND($H13&gt;0,AK$4+3&lt;$E13+($G13-$E13+1)*$H13)),2,1),IF(AND(Suivi&gt;=AK$4,Suivi&lt;AK$4+7),3,0))</f>
        <v/>
      </c>
      <c r="AL13" s="40">
        <f>IF(AND(AL$4&lt;=$G13,AL$4+6&gt;=$E13),IF(OR($H13&gt;=1,AND($H13&gt;0,AL$4+3&lt;$E13+($G13-$E13+1)*$H13)),2,1),IF(AND(Suivi&gt;=AL$4,Suivi&lt;AL$4+7),3,0))</f>
        <v/>
      </c>
      <c r="AM13" s="40">
        <f>IF(AND(AM$4&lt;=$G13,AM$4+6&gt;=$E13),IF(OR($H13&gt;=1,AND($H13&gt;0,AM$4+3&lt;$E13+($G13-$E13+1)*$H13)),2,1),IF(AND(Suivi&gt;=AM$4,Suivi&lt;AM$4+7),3,0))</f>
        <v/>
      </c>
      <c r="AN13" s="40">
        <f>IF(AND(AN$4&lt;=$G13,AN$4+6&gt;=$E13),IF(OR($H13&gt;=1,AND($H13&gt;0,AN$4+3&lt;$E13+($G13-$E13+1)*$H13)),2,1),IF(AND(Suivi&gt;=AN$4,Suivi&lt;AN$4+7),3,0))</f>
        <v/>
      </c>
      <c r="AO13" s="40">
        <f>IF(AND(AO$4&lt;=$G13,AO$4+6&gt;=$E13),IF(OR($H13&gt;=1,AND($H13&gt;0,AO$4+3&lt;$E13+($G13-$E13+1)*$H13)),2,1),IF(AND(Suivi&gt;=AO$4,Suivi&lt;AO$4+7),3,0))</f>
        <v/>
      </c>
      <c r="AP13" s="40">
        <f>IF(AND(AP$4&lt;=$G13,AP$4+6&gt;=$E13),IF(OR($H13&gt;=1,AND($H13&gt;0,AP$4+3&lt;$E13+($G13-$E13+1)*$H13)),2,1),IF(AND(Suivi&gt;=AP$4,Suivi&lt;AP$4+7),3,0))</f>
        <v/>
      </c>
      <c r="AQ13" s="40">
        <f>IF(AND(AQ$4&lt;=$G13,AQ$4+6&gt;=$E13),IF(OR($H13&gt;=1,AND($H13&gt;0,AQ$4+3&lt;$E13+($G13-$E13+1)*$H13)),2,1),IF(AND(Suivi&gt;=AQ$4,Suivi&lt;AQ$4+7),3,0))</f>
        <v/>
      </c>
      <c r="AR13" s="40">
        <f>IF(AND(AR$4&lt;=$G13,AR$4+6&gt;=$E13),IF(OR($H13&gt;=1,AND($H13&gt;0,AR$4+3&lt;$E13+($G13-$E13+1)*$H13)),2,1),IF(AND(Suivi&gt;=AR$4,Suivi&lt;AR$4+7),3,0))</f>
        <v/>
      </c>
      <c r="AS13" s="40">
        <f>IF(AND(AS$4&lt;=$G13,AS$4+6&gt;=$E13),IF(OR($H13&gt;=1,AND($H13&gt;0,AS$4+3&lt;$E13+($G13-$E13+1)*$H13)),2,1),IF(AND(Suivi&gt;=AS$4,Suivi&lt;AS$4+7),3,0))</f>
        <v/>
      </c>
      <c r="AT13" s="40">
        <f>IF(AND(AT$4&lt;=$G13,AT$4+6&gt;=$E13),IF(OR($H13&gt;=1,AND($H13&gt;0,AT$4+3&lt;$E13+($G13-$E13+1)*$H13)),2,1),IF(AND(Suivi&gt;=AT$4,Suivi&lt;AT$4+7),3,0))</f>
        <v/>
      </c>
      <c r="AU13" s="40">
        <f>IF(AND(AU$4&lt;=$G13,AU$4+6&gt;=$E13),IF(OR($H13&gt;=1,AND($H13&gt;0,AU$4+3&lt;$E13+($G13-$E13+1)*$H13)),2,1),IF(AND(Suivi&gt;=AU$4,Suivi&lt;AU$4+7),3,0))</f>
        <v/>
      </c>
      <c r="AV13" s="40">
        <f>IF(AND(AV$4&lt;=$G13,AV$4+6&gt;=$E13),IF(OR($H13&gt;=1,AND($H13&gt;0,AV$4+3&lt;$E13+($G13-$E13+1)*$H13)),2,1),IF(AND(Suivi&gt;=AV$4,Suivi&lt;AV$4+7),3,0))</f>
        <v/>
      </c>
      <c r="AW13" s="40">
        <f>IF(AND(AW$4&lt;=$G13,AW$4+6&gt;=$E13),IF(OR($H13&gt;=1,AND($H13&gt;0,AW$4+3&lt;$E13+($G13-$E13+1)*$H13)),2,1),IF(AND(Suivi&gt;=AW$4,Suivi&lt;AW$4+7),3,0))</f>
        <v/>
      </c>
      <c r="AX13" s="40">
        <f>IF(AND(AX$4&lt;=$G13,AX$4+6&gt;=$E13),IF(OR($H13&gt;=1,AND($H13&gt;0,AX$4+3&lt;$E13+($G13-$E13+1)*$H13)),2,1),IF(AND(Suivi&gt;=AX$4,Suivi&lt;AX$4+7),3,0))</f>
        <v/>
      </c>
      <c r="AY13" s="40">
        <f>IF(AND(AY$4&lt;=$G13,AY$4+6&gt;=$E13),IF(OR($H13&gt;=1,AND($H13&gt;0,AY$4+3&lt;$E13+($G13-$E13+1)*$H13)),2,1),IF(AND(Suivi&gt;=AY$4,Suivi&lt;AY$4+7),3,0))</f>
        <v/>
      </c>
      <c r="AZ13" s="40">
        <f>IF(AND(AZ$4&lt;=$G13,AZ$4+6&gt;=$E13),IF(OR($H13&gt;=1,AND($H13&gt;0,AZ$4+3&lt;$E13+($G13-$E13+1)*$H13)),2,1),IF(AND(Suivi&gt;=AZ$4,Suivi&lt;AZ$4+7),3,0))</f>
        <v/>
      </c>
      <c r="BA13" s="40">
        <f>IF(AND(BA$4&lt;=$G13,BA$4+6&gt;=$E13),IF(OR($H13&gt;=1,AND($H13&gt;0,BA$4+3&lt;$E13+($G13-$E13+1)*$H13)),2,1),IF(AND(Suivi&gt;=BA$4,Suivi&lt;BA$4+7),3,0))</f>
        <v/>
      </c>
      <c r="BB13" s="40">
        <f>IF(AND(BB$4&lt;=$G13,BB$4+6&gt;=$E13),IF(OR($H13&gt;=1,AND($H13&gt;0,BB$4+3&lt;$E13+($G13-$E13+1)*$H13)),2,1),IF(AND(Suivi&gt;=BB$4,Suivi&lt;BB$4+7),3,0))</f>
        <v/>
      </c>
      <c r="BC13" s="40">
        <f>IF(AND(BC$4&lt;=$G13,BC$4+6&gt;=$E13),IF(OR($H13&gt;=1,AND($H13&gt;0,BC$4+3&lt;$E13+($G13-$E13+1)*$H13)),2,1),IF(AND(Suivi&gt;=BC$4,Suivi&lt;BC$4+7),3,0))</f>
        <v/>
      </c>
      <c r="BD13" s="40">
        <f>IF(AND(BD$4&lt;=$G13,BD$4+6&gt;=$E13),IF(OR($H13&gt;=1,AND($H13&gt;0,BD$4+3&lt;$E13+($G13-$E13+1)*$H13)),2,1),IF(AND(Suivi&gt;=BD$4,Suivi&lt;BD$4+7),3,0))</f>
        <v/>
      </c>
      <c r="BE13" s="40">
        <f>IF(AND(BE$4&lt;=$G13,BE$4+6&gt;=$E13),IF(OR($H13&gt;=1,AND($H13&gt;0,BE$4+3&lt;$E13+($G13-$E13+1)*$H13)),2,1),IF(AND(Suivi&gt;=BE$4,Suivi&lt;BE$4+7),3,0))</f>
        <v/>
      </c>
      <c r="BF13" s="40">
        <f>IF(AND(BF$4&lt;=$G13,BF$4+6&gt;=$E13),IF(OR($H13&gt;=1,AND($H13&gt;0,BF$4+3&lt;$E13+($G13-$E13+1)*$H13)),2,1),IF(AND(Suivi&gt;=BF$4,Suivi&lt;BF$4+7),3,0))</f>
        <v/>
      </c>
      <c r="BG13" s="40">
        <f>IF(AND(BG$4&lt;=$G13,BG$4+6&gt;=$E13),IF(OR($H13&gt;=1,AND($H13&gt;0,BG$4+3&lt;$E13+($G13-$E13+1)*$H13)),2,1),IF(AND(Suivi&gt;=BG$4,Suivi&lt;BG$4+7),3,0))</f>
        <v/>
      </c>
      <c r="BH13" s="40">
        <f>IF(AND(BH$4&lt;=$G13,BH$4+6&gt;=$E13),IF(OR($H13&gt;=1,AND($H13&gt;0,BH$4+3&lt;$E13+($G13-$E13+1)*$H13)),2,1),IF(AND(Suivi&gt;=BH$4,Suivi&lt;BH$4+7),3,0))</f>
        <v/>
      </c>
      <c r="BI13" s="40">
        <f>IF(AND(BI$4&lt;=$G13,BI$4+6&gt;=$E13),IF(OR($H13&gt;=1,AND($H13&gt;0,BI$4+3&lt;$E13+($G13-$E13+1)*$H13)),2,1),IF(AND(Suivi&gt;=BI$4,Suivi&lt;BI$4+7),3,0))</f>
        <v/>
      </c>
      <c r="BJ13" s="40">
        <f>IF(AND(BJ$4&lt;=$G13,BJ$4+6&gt;=$E13),IF(OR($H13&gt;=1,AND($H13&gt;0,BJ$4+3&lt;$E13+($G13-$E13+1)*$H13)),2,1),IF(AND(Suivi&gt;=BJ$4,Suivi&lt;BJ$4+7),3,0))</f>
        <v/>
      </c>
      <c r="BK13" s="40">
        <f>IF(AND(BK$4&lt;=$G13,BK$4+6&gt;=$E13),IF(OR($H13&gt;=1,AND($H13&gt;0,BK$4+3&lt;$E13+($G13-$E13+1)*$H13)),2,1),IF(AND(Suivi&gt;=BK$4,Suivi&lt;BK$4+7),3,0))</f>
        <v/>
      </c>
      <c r="BL13" s="40">
        <f>IF(AND(BL$4&lt;=$G13,BL$4+6&gt;=$E13),IF(OR($H13&gt;=1,AND($H13&gt;0,BL$4+3&lt;$E13+($G13-$E13+1)*$H13)),2,1),IF(AND(Suivi&gt;=BL$4,Suivi&lt;BL$4+7),3,0))</f>
        <v/>
      </c>
      <c r="BM13" s="40">
        <f>IF(AND(BM$4&lt;=$G13,BM$4+6&gt;=$E13),IF(OR($H13&gt;=1,AND($H13&gt;0,BM$4+3&lt;$E13+($G13-$E13+1)*$H13)),2,1),IF(AND(Suivi&gt;=BM$4,Suivi&lt;BM$4+7),3,0))</f>
        <v/>
      </c>
      <c r="BN13" s="40">
        <f>IF(AND(BN$4&lt;=$G13,BN$4+6&gt;=$E13),IF(OR($H13&gt;=1,AND($H13&gt;0,BN$4+3&lt;$E13+($G13-$E13+1)*$H13)),2,1),IF(AND(Suivi&gt;=BN$4,Suivi&lt;BN$4+7),3,0))</f>
        <v/>
      </c>
      <c r="BO13" s="40">
        <f>IF(AND(BO$4&lt;=$G13,BO$4+6&gt;=$E13),IF(OR($H13&gt;=1,AND($H13&gt;0,BO$4+3&lt;$E13+($G13-$E13+1)*$H13)),2,1),IF(AND(Suivi&gt;=BO$4,Suivi&lt;BO$4+7),3,0))</f>
        <v/>
      </c>
    </row>
    <row r="14" ht="20" customHeight="1">
      <c r="A14" s="36" t="n">
        <v>10</v>
      </c>
      <c r="B14" s="36" t="inlineStr">
        <is>
          <t>شبكة الكهرباء (تمديدات)</t>
        </is>
      </c>
      <c r="C14" s="36" t="inlineStr">
        <is>
          <t>شبكات</t>
        </is>
      </c>
      <c r="D14" s="36" t="inlineStr">
        <is>
          <t>كهربائي معتمد</t>
        </is>
      </c>
      <c r="E14" s="37" t="n">
        <v>46235</v>
      </c>
      <c r="F14" s="36" t="n">
        <v>21</v>
      </c>
      <c r="G14" s="37">
        <f>WORKDAY.INTL(E14,F14-1,Repos)</f>
        <v/>
      </c>
      <c r="H14" s="38" t="n">
        <v>1</v>
      </c>
      <c r="I14" s="36">
        <f>IF(H14&gt;=1,"مكتملة",IF(AND(Suivi&gt;G14,H14&lt;1),"متأخرة",IF(Suivi&lt;E14,"لم تبدأ",IF(H14+0.15&lt;(Suivi-E14)/MAX(1,G14-E14),"تحتاج متابعة","جارية"))))</f>
        <v/>
      </c>
      <c r="J14" s="39" t="n">
        <v>950000</v>
      </c>
      <c r="L14" s="40">
        <f>IF(AND(L$4&lt;=$G14,L$4+6&gt;=$E14),IF(OR($H14&gt;=1,AND($H14&gt;0,L$4+3&lt;$E14+($G14-$E14+1)*$H14)),2,1),IF(AND(Suivi&gt;=L$4,Suivi&lt;L$4+7),3,0))</f>
        <v/>
      </c>
      <c r="M14" s="40">
        <f>IF(AND(M$4&lt;=$G14,M$4+6&gt;=$E14),IF(OR($H14&gt;=1,AND($H14&gt;0,M$4+3&lt;$E14+($G14-$E14+1)*$H14)),2,1),IF(AND(Suivi&gt;=M$4,Suivi&lt;M$4+7),3,0))</f>
        <v/>
      </c>
      <c r="N14" s="40">
        <f>IF(AND(N$4&lt;=$G14,N$4+6&gt;=$E14),IF(OR($H14&gt;=1,AND($H14&gt;0,N$4+3&lt;$E14+($G14-$E14+1)*$H14)),2,1),IF(AND(Suivi&gt;=N$4,Suivi&lt;N$4+7),3,0))</f>
        <v/>
      </c>
      <c r="O14" s="40">
        <f>IF(AND(O$4&lt;=$G14,O$4+6&gt;=$E14),IF(OR($H14&gt;=1,AND($H14&gt;0,O$4+3&lt;$E14+($G14-$E14+1)*$H14)),2,1),IF(AND(Suivi&gt;=O$4,Suivi&lt;O$4+7),3,0))</f>
        <v/>
      </c>
      <c r="P14" s="40">
        <f>IF(AND(P$4&lt;=$G14,P$4+6&gt;=$E14),IF(OR($H14&gt;=1,AND($H14&gt;0,P$4+3&lt;$E14+($G14-$E14+1)*$H14)),2,1),IF(AND(Suivi&gt;=P$4,Suivi&lt;P$4+7),3,0))</f>
        <v/>
      </c>
      <c r="Q14" s="40">
        <f>IF(AND(Q$4&lt;=$G14,Q$4+6&gt;=$E14),IF(OR($H14&gt;=1,AND($H14&gt;0,Q$4+3&lt;$E14+($G14-$E14+1)*$H14)),2,1),IF(AND(Suivi&gt;=Q$4,Suivi&lt;Q$4+7),3,0))</f>
        <v/>
      </c>
      <c r="R14" s="40">
        <f>IF(AND(R$4&lt;=$G14,R$4+6&gt;=$E14),IF(OR($H14&gt;=1,AND($H14&gt;0,R$4+3&lt;$E14+($G14-$E14+1)*$H14)),2,1),IF(AND(Suivi&gt;=R$4,Suivi&lt;R$4+7),3,0))</f>
        <v/>
      </c>
      <c r="S14" s="40">
        <f>IF(AND(S$4&lt;=$G14,S$4+6&gt;=$E14),IF(OR($H14&gt;=1,AND($H14&gt;0,S$4+3&lt;$E14+($G14-$E14+1)*$H14)),2,1),IF(AND(Suivi&gt;=S$4,Suivi&lt;S$4+7),3,0))</f>
        <v/>
      </c>
      <c r="T14" s="40">
        <f>IF(AND(T$4&lt;=$G14,T$4+6&gt;=$E14),IF(OR($H14&gt;=1,AND($H14&gt;0,T$4+3&lt;$E14+($G14-$E14+1)*$H14)),2,1),IF(AND(Suivi&gt;=T$4,Suivi&lt;T$4+7),3,0))</f>
        <v/>
      </c>
      <c r="U14" s="40">
        <f>IF(AND(U$4&lt;=$G14,U$4+6&gt;=$E14),IF(OR($H14&gt;=1,AND($H14&gt;0,U$4+3&lt;$E14+($G14-$E14+1)*$H14)),2,1),IF(AND(Suivi&gt;=U$4,Suivi&lt;U$4+7),3,0))</f>
        <v/>
      </c>
      <c r="V14" s="40">
        <f>IF(AND(V$4&lt;=$G14,V$4+6&gt;=$E14),IF(OR($H14&gt;=1,AND($H14&gt;0,V$4+3&lt;$E14+($G14-$E14+1)*$H14)),2,1),IF(AND(Suivi&gt;=V$4,Suivi&lt;V$4+7),3,0))</f>
        <v/>
      </c>
      <c r="W14" s="40">
        <f>IF(AND(W$4&lt;=$G14,W$4+6&gt;=$E14),IF(OR($H14&gt;=1,AND($H14&gt;0,W$4+3&lt;$E14+($G14-$E14+1)*$H14)),2,1),IF(AND(Suivi&gt;=W$4,Suivi&lt;W$4+7),3,0))</f>
        <v/>
      </c>
      <c r="X14" s="40">
        <f>IF(AND(X$4&lt;=$G14,X$4+6&gt;=$E14),IF(OR($H14&gt;=1,AND($H14&gt;0,X$4+3&lt;$E14+($G14-$E14+1)*$H14)),2,1),IF(AND(Suivi&gt;=X$4,Suivi&lt;X$4+7),3,0))</f>
        <v/>
      </c>
      <c r="Y14" s="40">
        <f>IF(AND(Y$4&lt;=$G14,Y$4+6&gt;=$E14),IF(OR($H14&gt;=1,AND($H14&gt;0,Y$4+3&lt;$E14+($G14-$E14+1)*$H14)),2,1),IF(AND(Suivi&gt;=Y$4,Suivi&lt;Y$4+7),3,0))</f>
        <v/>
      </c>
      <c r="Z14" s="40">
        <f>IF(AND(Z$4&lt;=$G14,Z$4+6&gt;=$E14),IF(OR($H14&gt;=1,AND($H14&gt;0,Z$4+3&lt;$E14+($G14-$E14+1)*$H14)),2,1),IF(AND(Suivi&gt;=Z$4,Suivi&lt;Z$4+7),3,0))</f>
        <v/>
      </c>
      <c r="AA14" s="40">
        <f>IF(AND(AA$4&lt;=$G14,AA$4+6&gt;=$E14),IF(OR($H14&gt;=1,AND($H14&gt;0,AA$4+3&lt;$E14+($G14-$E14+1)*$H14)),2,1),IF(AND(Suivi&gt;=AA$4,Suivi&lt;AA$4+7),3,0))</f>
        <v/>
      </c>
      <c r="AB14" s="40">
        <f>IF(AND(AB$4&lt;=$G14,AB$4+6&gt;=$E14),IF(OR($H14&gt;=1,AND($H14&gt;0,AB$4+3&lt;$E14+($G14-$E14+1)*$H14)),2,1),IF(AND(Suivi&gt;=AB$4,Suivi&lt;AB$4+7),3,0))</f>
        <v/>
      </c>
      <c r="AC14" s="40">
        <f>IF(AND(AC$4&lt;=$G14,AC$4+6&gt;=$E14),IF(OR($H14&gt;=1,AND($H14&gt;0,AC$4+3&lt;$E14+($G14-$E14+1)*$H14)),2,1),IF(AND(Suivi&gt;=AC$4,Suivi&lt;AC$4+7),3,0))</f>
        <v/>
      </c>
      <c r="AD14" s="40">
        <f>IF(AND(AD$4&lt;=$G14,AD$4+6&gt;=$E14),IF(OR($H14&gt;=1,AND($H14&gt;0,AD$4+3&lt;$E14+($G14-$E14+1)*$H14)),2,1),IF(AND(Suivi&gt;=AD$4,Suivi&lt;AD$4+7),3,0))</f>
        <v/>
      </c>
      <c r="AE14" s="40">
        <f>IF(AND(AE$4&lt;=$G14,AE$4+6&gt;=$E14),IF(OR($H14&gt;=1,AND($H14&gt;0,AE$4+3&lt;$E14+($G14-$E14+1)*$H14)),2,1),IF(AND(Suivi&gt;=AE$4,Suivi&lt;AE$4+7),3,0))</f>
        <v/>
      </c>
      <c r="AF14" s="40">
        <f>IF(AND(AF$4&lt;=$G14,AF$4+6&gt;=$E14),IF(OR($H14&gt;=1,AND($H14&gt;0,AF$4+3&lt;$E14+($G14-$E14+1)*$H14)),2,1),IF(AND(Suivi&gt;=AF$4,Suivi&lt;AF$4+7),3,0))</f>
        <v/>
      </c>
      <c r="AG14" s="40">
        <f>IF(AND(AG$4&lt;=$G14,AG$4+6&gt;=$E14),IF(OR($H14&gt;=1,AND($H14&gt;0,AG$4+3&lt;$E14+($G14-$E14+1)*$H14)),2,1),IF(AND(Suivi&gt;=AG$4,Suivi&lt;AG$4+7),3,0))</f>
        <v/>
      </c>
      <c r="AH14" s="40">
        <f>IF(AND(AH$4&lt;=$G14,AH$4+6&gt;=$E14),IF(OR($H14&gt;=1,AND($H14&gt;0,AH$4+3&lt;$E14+($G14-$E14+1)*$H14)),2,1),IF(AND(Suivi&gt;=AH$4,Suivi&lt;AH$4+7),3,0))</f>
        <v/>
      </c>
      <c r="AI14" s="40">
        <f>IF(AND(AI$4&lt;=$G14,AI$4+6&gt;=$E14),IF(OR($H14&gt;=1,AND($H14&gt;0,AI$4+3&lt;$E14+($G14-$E14+1)*$H14)),2,1),IF(AND(Suivi&gt;=AI$4,Suivi&lt;AI$4+7),3,0))</f>
        <v/>
      </c>
      <c r="AJ14" s="40">
        <f>IF(AND(AJ$4&lt;=$G14,AJ$4+6&gt;=$E14),IF(OR($H14&gt;=1,AND($H14&gt;0,AJ$4+3&lt;$E14+($G14-$E14+1)*$H14)),2,1),IF(AND(Suivi&gt;=AJ$4,Suivi&lt;AJ$4+7),3,0))</f>
        <v/>
      </c>
      <c r="AK14" s="40">
        <f>IF(AND(AK$4&lt;=$G14,AK$4+6&gt;=$E14),IF(OR($H14&gt;=1,AND($H14&gt;0,AK$4+3&lt;$E14+($G14-$E14+1)*$H14)),2,1),IF(AND(Suivi&gt;=AK$4,Suivi&lt;AK$4+7),3,0))</f>
        <v/>
      </c>
      <c r="AL14" s="40">
        <f>IF(AND(AL$4&lt;=$G14,AL$4+6&gt;=$E14),IF(OR($H14&gt;=1,AND($H14&gt;0,AL$4+3&lt;$E14+($G14-$E14+1)*$H14)),2,1),IF(AND(Suivi&gt;=AL$4,Suivi&lt;AL$4+7),3,0))</f>
        <v/>
      </c>
      <c r="AM14" s="40">
        <f>IF(AND(AM$4&lt;=$G14,AM$4+6&gt;=$E14),IF(OR($H14&gt;=1,AND($H14&gt;0,AM$4+3&lt;$E14+($G14-$E14+1)*$H14)),2,1),IF(AND(Suivi&gt;=AM$4,Suivi&lt;AM$4+7),3,0))</f>
        <v/>
      </c>
      <c r="AN14" s="40">
        <f>IF(AND(AN$4&lt;=$G14,AN$4+6&gt;=$E14),IF(OR($H14&gt;=1,AND($H14&gt;0,AN$4+3&lt;$E14+($G14-$E14+1)*$H14)),2,1),IF(AND(Suivi&gt;=AN$4,Suivi&lt;AN$4+7),3,0))</f>
        <v/>
      </c>
      <c r="AO14" s="40">
        <f>IF(AND(AO$4&lt;=$G14,AO$4+6&gt;=$E14),IF(OR($H14&gt;=1,AND($H14&gt;0,AO$4+3&lt;$E14+($G14-$E14+1)*$H14)),2,1),IF(AND(Suivi&gt;=AO$4,Suivi&lt;AO$4+7),3,0))</f>
        <v/>
      </c>
      <c r="AP14" s="40">
        <f>IF(AND(AP$4&lt;=$G14,AP$4+6&gt;=$E14),IF(OR($H14&gt;=1,AND($H14&gt;0,AP$4+3&lt;$E14+($G14-$E14+1)*$H14)),2,1),IF(AND(Suivi&gt;=AP$4,Suivi&lt;AP$4+7),3,0))</f>
        <v/>
      </c>
      <c r="AQ14" s="40">
        <f>IF(AND(AQ$4&lt;=$G14,AQ$4+6&gt;=$E14),IF(OR($H14&gt;=1,AND($H14&gt;0,AQ$4+3&lt;$E14+($G14-$E14+1)*$H14)),2,1),IF(AND(Suivi&gt;=AQ$4,Suivi&lt;AQ$4+7),3,0))</f>
        <v/>
      </c>
      <c r="AR14" s="40">
        <f>IF(AND(AR$4&lt;=$G14,AR$4+6&gt;=$E14),IF(OR($H14&gt;=1,AND($H14&gt;0,AR$4+3&lt;$E14+($G14-$E14+1)*$H14)),2,1),IF(AND(Suivi&gt;=AR$4,Suivi&lt;AR$4+7),3,0))</f>
        <v/>
      </c>
      <c r="AS14" s="40">
        <f>IF(AND(AS$4&lt;=$G14,AS$4+6&gt;=$E14),IF(OR($H14&gt;=1,AND($H14&gt;0,AS$4+3&lt;$E14+($G14-$E14+1)*$H14)),2,1),IF(AND(Suivi&gt;=AS$4,Suivi&lt;AS$4+7),3,0))</f>
        <v/>
      </c>
      <c r="AT14" s="40">
        <f>IF(AND(AT$4&lt;=$G14,AT$4+6&gt;=$E14),IF(OR($H14&gt;=1,AND($H14&gt;0,AT$4+3&lt;$E14+($G14-$E14+1)*$H14)),2,1),IF(AND(Suivi&gt;=AT$4,Suivi&lt;AT$4+7),3,0))</f>
        <v/>
      </c>
      <c r="AU14" s="40">
        <f>IF(AND(AU$4&lt;=$G14,AU$4+6&gt;=$E14),IF(OR($H14&gt;=1,AND($H14&gt;0,AU$4+3&lt;$E14+($G14-$E14+1)*$H14)),2,1),IF(AND(Suivi&gt;=AU$4,Suivi&lt;AU$4+7),3,0))</f>
        <v/>
      </c>
      <c r="AV14" s="40">
        <f>IF(AND(AV$4&lt;=$G14,AV$4+6&gt;=$E14),IF(OR($H14&gt;=1,AND($H14&gt;0,AV$4+3&lt;$E14+($G14-$E14+1)*$H14)),2,1),IF(AND(Suivi&gt;=AV$4,Suivi&lt;AV$4+7),3,0))</f>
        <v/>
      </c>
      <c r="AW14" s="40">
        <f>IF(AND(AW$4&lt;=$G14,AW$4+6&gt;=$E14),IF(OR($H14&gt;=1,AND($H14&gt;0,AW$4+3&lt;$E14+($G14-$E14+1)*$H14)),2,1),IF(AND(Suivi&gt;=AW$4,Suivi&lt;AW$4+7),3,0))</f>
        <v/>
      </c>
      <c r="AX14" s="40">
        <f>IF(AND(AX$4&lt;=$G14,AX$4+6&gt;=$E14),IF(OR($H14&gt;=1,AND($H14&gt;0,AX$4+3&lt;$E14+($G14-$E14+1)*$H14)),2,1),IF(AND(Suivi&gt;=AX$4,Suivi&lt;AX$4+7),3,0))</f>
        <v/>
      </c>
      <c r="AY14" s="40">
        <f>IF(AND(AY$4&lt;=$G14,AY$4+6&gt;=$E14),IF(OR($H14&gt;=1,AND($H14&gt;0,AY$4+3&lt;$E14+($G14-$E14+1)*$H14)),2,1),IF(AND(Suivi&gt;=AY$4,Suivi&lt;AY$4+7),3,0))</f>
        <v/>
      </c>
      <c r="AZ14" s="40">
        <f>IF(AND(AZ$4&lt;=$G14,AZ$4+6&gt;=$E14),IF(OR($H14&gt;=1,AND($H14&gt;0,AZ$4+3&lt;$E14+($G14-$E14+1)*$H14)),2,1),IF(AND(Suivi&gt;=AZ$4,Suivi&lt;AZ$4+7),3,0))</f>
        <v/>
      </c>
      <c r="BA14" s="40">
        <f>IF(AND(BA$4&lt;=$G14,BA$4+6&gt;=$E14),IF(OR($H14&gt;=1,AND($H14&gt;0,BA$4+3&lt;$E14+($G14-$E14+1)*$H14)),2,1),IF(AND(Suivi&gt;=BA$4,Suivi&lt;BA$4+7),3,0))</f>
        <v/>
      </c>
      <c r="BB14" s="40">
        <f>IF(AND(BB$4&lt;=$G14,BB$4+6&gt;=$E14),IF(OR($H14&gt;=1,AND($H14&gt;0,BB$4+3&lt;$E14+($G14-$E14+1)*$H14)),2,1),IF(AND(Suivi&gt;=BB$4,Suivi&lt;BB$4+7),3,0))</f>
        <v/>
      </c>
      <c r="BC14" s="40">
        <f>IF(AND(BC$4&lt;=$G14,BC$4+6&gt;=$E14),IF(OR($H14&gt;=1,AND($H14&gt;0,BC$4+3&lt;$E14+($G14-$E14+1)*$H14)),2,1),IF(AND(Suivi&gt;=BC$4,Suivi&lt;BC$4+7),3,0))</f>
        <v/>
      </c>
      <c r="BD14" s="40">
        <f>IF(AND(BD$4&lt;=$G14,BD$4+6&gt;=$E14),IF(OR($H14&gt;=1,AND($H14&gt;0,BD$4+3&lt;$E14+($G14-$E14+1)*$H14)),2,1),IF(AND(Suivi&gt;=BD$4,Suivi&lt;BD$4+7),3,0))</f>
        <v/>
      </c>
      <c r="BE14" s="40">
        <f>IF(AND(BE$4&lt;=$G14,BE$4+6&gt;=$E14),IF(OR($H14&gt;=1,AND($H14&gt;0,BE$4+3&lt;$E14+($G14-$E14+1)*$H14)),2,1),IF(AND(Suivi&gt;=BE$4,Suivi&lt;BE$4+7),3,0))</f>
        <v/>
      </c>
      <c r="BF14" s="40">
        <f>IF(AND(BF$4&lt;=$G14,BF$4+6&gt;=$E14),IF(OR($H14&gt;=1,AND($H14&gt;0,BF$4+3&lt;$E14+($G14-$E14+1)*$H14)),2,1),IF(AND(Suivi&gt;=BF$4,Suivi&lt;BF$4+7),3,0))</f>
        <v/>
      </c>
      <c r="BG14" s="40">
        <f>IF(AND(BG$4&lt;=$G14,BG$4+6&gt;=$E14),IF(OR($H14&gt;=1,AND($H14&gt;0,BG$4+3&lt;$E14+($G14-$E14+1)*$H14)),2,1),IF(AND(Suivi&gt;=BG$4,Suivi&lt;BG$4+7),3,0))</f>
        <v/>
      </c>
      <c r="BH14" s="40">
        <f>IF(AND(BH$4&lt;=$G14,BH$4+6&gt;=$E14),IF(OR($H14&gt;=1,AND($H14&gt;0,BH$4+3&lt;$E14+($G14-$E14+1)*$H14)),2,1),IF(AND(Suivi&gt;=BH$4,Suivi&lt;BH$4+7),3,0))</f>
        <v/>
      </c>
      <c r="BI14" s="40">
        <f>IF(AND(BI$4&lt;=$G14,BI$4+6&gt;=$E14),IF(OR($H14&gt;=1,AND($H14&gt;0,BI$4+3&lt;$E14+($G14-$E14+1)*$H14)),2,1),IF(AND(Suivi&gt;=BI$4,Suivi&lt;BI$4+7),3,0))</f>
        <v/>
      </c>
      <c r="BJ14" s="40">
        <f>IF(AND(BJ$4&lt;=$G14,BJ$4+6&gt;=$E14),IF(OR($H14&gt;=1,AND($H14&gt;0,BJ$4+3&lt;$E14+($G14-$E14+1)*$H14)),2,1),IF(AND(Suivi&gt;=BJ$4,Suivi&lt;BJ$4+7),3,0))</f>
        <v/>
      </c>
      <c r="BK14" s="40">
        <f>IF(AND(BK$4&lt;=$G14,BK$4+6&gt;=$E14),IF(OR($H14&gt;=1,AND($H14&gt;0,BK$4+3&lt;$E14+($G14-$E14+1)*$H14)),2,1),IF(AND(Suivi&gt;=BK$4,Suivi&lt;BK$4+7),3,0))</f>
        <v/>
      </c>
      <c r="BL14" s="40">
        <f>IF(AND(BL$4&lt;=$G14,BL$4+6&gt;=$E14),IF(OR($H14&gt;=1,AND($H14&gt;0,BL$4+3&lt;$E14+($G14-$E14+1)*$H14)),2,1),IF(AND(Suivi&gt;=BL$4,Suivi&lt;BL$4+7),3,0))</f>
        <v/>
      </c>
      <c r="BM14" s="40">
        <f>IF(AND(BM$4&lt;=$G14,BM$4+6&gt;=$E14),IF(OR($H14&gt;=1,AND($H14&gt;0,BM$4+3&lt;$E14+($G14-$E14+1)*$H14)),2,1),IF(AND(Suivi&gt;=BM$4,Suivi&lt;BM$4+7),3,0))</f>
        <v/>
      </c>
      <c r="BN14" s="40">
        <f>IF(AND(BN$4&lt;=$G14,BN$4+6&gt;=$E14),IF(OR($H14&gt;=1,AND($H14&gt;0,BN$4+3&lt;$E14+($G14-$E14+1)*$H14)),2,1),IF(AND(Suivi&gt;=BN$4,Suivi&lt;BN$4+7),3,0))</f>
        <v/>
      </c>
      <c r="BO14" s="40">
        <f>IF(AND(BO$4&lt;=$G14,BO$4+6&gt;=$E14),IF(OR($H14&gt;=1,AND($H14&gt;0,BO$4+3&lt;$E14+($G14-$E14+1)*$H14)),2,1),IF(AND(Suivi&gt;=BO$4,Suivi&lt;BO$4+7),3,0))</f>
        <v/>
      </c>
    </row>
    <row r="15" ht="20" customHeight="1">
      <c r="A15" s="36" t="n">
        <v>11</v>
      </c>
      <c r="B15" s="36" t="inlineStr">
        <is>
          <t>السباكة والصرف الصحي</t>
        </is>
      </c>
      <c r="C15" s="36" t="inlineStr">
        <is>
          <t>شبكات</t>
        </is>
      </c>
      <c r="D15" s="36" t="inlineStr">
        <is>
          <t>فريق السباكة</t>
        </is>
      </c>
      <c r="E15" s="37" t="n">
        <v>46235</v>
      </c>
      <c r="F15" s="36" t="n">
        <v>21</v>
      </c>
      <c r="G15" s="37">
        <f>WORKDAY.INTL(E15,F15-1,Repos)</f>
        <v/>
      </c>
      <c r="H15" s="38" t="n">
        <v>1</v>
      </c>
      <c r="I15" s="36">
        <f>IF(H15&gt;=1,"مكتملة",IF(AND(Suivi&gt;G15,H15&lt;1),"متأخرة",IF(Suivi&lt;E15,"لم تبدأ",IF(H15+0.15&lt;(Suivi-E15)/MAX(1,G15-E15),"تحتاج متابعة","جارية"))))</f>
        <v/>
      </c>
      <c r="J15" s="39" t="n">
        <v>880000</v>
      </c>
      <c r="L15" s="40">
        <f>IF(AND(L$4&lt;=$G15,L$4+6&gt;=$E15),IF(OR($H15&gt;=1,AND($H15&gt;0,L$4+3&lt;$E15+($G15-$E15+1)*$H15)),2,1),IF(AND(Suivi&gt;=L$4,Suivi&lt;L$4+7),3,0))</f>
        <v/>
      </c>
      <c r="M15" s="40">
        <f>IF(AND(M$4&lt;=$G15,M$4+6&gt;=$E15),IF(OR($H15&gt;=1,AND($H15&gt;0,M$4+3&lt;$E15+($G15-$E15+1)*$H15)),2,1),IF(AND(Suivi&gt;=M$4,Suivi&lt;M$4+7),3,0))</f>
        <v/>
      </c>
      <c r="N15" s="40">
        <f>IF(AND(N$4&lt;=$G15,N$4+6&gt;=$E15),IF(OR($H15&gt;=1,AND($H15&gt;0,N$4+3&lt;$E15+($G15-$E15+1)*$H15)),2,1),IF(AND(Suivi&gt;=N$4,Suivi&lt;N$4+7),3,0))</f>
        <v/>
      </c>
      <c r="O15" s="40">
        <f>IF(AND(O$4&lt;=$G15,O$4+6&gt;=$E15),IF(OR($H15&gt;=1,AND($H15&gt;0,O$4+3&lt;$E15+($G15-$E15+1)*$H15)),2,1),IF(AND(Suivi&gt;=O$4,Suivi&lt;O$4+7),3,0))</f>
        <v/>
      </c>
      <c r="P15" s="40">
        <f>IF(AND(P$4&lt;=$G15,P$4+6&gt;=$E15),IF(OR($H15&gt;=1,AND($H15&gt;0,P$4+3&lt;$E15+($G15-$E15+1)*$H15)),2,1),IF(AND(Suivi&gt;=P$4,Suivi&lt;P$4+7),3,0))</f>
        <v/>
      </c>
      <c r="Q15" s="40">
        <f>IF(AND(Q$4&lt;=$G15,Q$4+6&gt;=$E15),IF(OR($H15&gt;=1,AND($H15&gt;0,Q$4+3&lt;$E15+($G15-$E15+1)*$H15)),2,1),IF(AND(Suivi&gt;=Q$4,Suivi&lt;Q$4+7),3,0))</f>
        <v/>
      </c>
      <c r="R15" s="40">
        <f>IF(AND(R$4&lt;=$G15,R$4+6&gt;=$E15),IF(OR($H15&gt;=1,AND($H15&gt;0,R$4+3&lt;$E15+($G15-$E15+1)*$H15)),2,1),IF(AND(Suivi&gt;=R$4,Suivi&lt;R$4+7),3,0))</f>
        <v/>
      </c>
      <c r="S15" s="40">
        <f>IF(AND(S$4&lt;=$G15,S$4+6&gt;=$E15),IF(OR($H15&gt;=1,AND($H15&gt;0,S$4+3&lt;$E15+($G15-$E15+1)*$H15)),2,1),IF(AND(Suivi&gt;=S$4,Suivi&lt;S$4+7),3,0))</f>
        <v/>
      </c>
      <c r="T15" s="40">
        <f>IF(AND(T$4&lt;=$G15,T$4+6&gt;=$E15),IF(OR($H15&gt;=1,AND($H15&gt;0,T$4+3&lt;$E15+($G15-$E15+1)*$H15)),2,1),IF(AND(Suivi&gt;=T$4,Suivi&lt;T$4+7),3,0))</f>
        <v/>
      </c>
      <c r="U15" s="40">
        <f>IF(AND(U$4&lt;=$G15,U$4+6&gt;=$E15),IF(OR($H15&gt;=1,AND($H15&gt;0,U$4+3&lt;$E15+($G15-$E15+1)*$H15)),2,1),IF(AND(Suivi&gt;=U$4,Suivi&lt;U$4+7),3,0))</f>
        <v/>
      </c>
      <c r="V15" s="40">
        <f>IF(AND(V$4&lt;=$G15,V$4+6&gt;=$E15),IF(OR($H15&gt;=1,AND($H15&gt;0,V$4+3&lt;$E15+($G15-$E15+1)*$H15)),2,1),IF(AND(Suivi&gt;=V$4,Suivi&lt;V$4+7),3,0))</f>
        <v/>
      </c>
      <c r="W15" s="40">
        <f>IF(AND(W$4&lt;=$G15,W$4+6&gt;=$E15),IF(OR($H15&gt;=1,AND($H15&gt;0,W$4+3&lt;$E15+($G15-$E15+1)*$H15)),2,1),IF(AND(Suivi&gt;=W$4,Suivi&lt;W$4+7),3,0))</f>
        <v/>
      </c>
      <c r="X15" s="40">
        <f>IF(AND(X$4&lt;=$G15,X$4+6&gt;=$E15),IF(OR($H15&gt;=1,AND($H15&gt;0,X$4+3&lt;$E15+($G15-$E15+1)*$H15)),2,1),IF(AND(Suivi&gt;=X$4,Suivi&lt;X$4+7),3,0))</f>
        <v/>
      </c>
      <c r="Y15" s="40">
        <f>IF(AND(Y$4&lt;=$G15,Y$4+6&gt;=$E15),IF(OR($H15&gt;=1,AND($H15&gt;0,Y$4+3&lt;$E15+($G15-$E15+1)*$H15)),2,1),IF(AND(Suivi&gt;=Y$4,Suivi&lt;Y$4+7),3,0))</f>
        <v/>
      </c>
      <c r="Z15" s="40">
        <f>IF(AND(Z$4&lt;=$G15,Z$4+6&gt;=$E15),IF(OR($H15&gt;=1,AND($H15&gt;0,Z$4+3&lt;$E15+($G15-$E15+1)*$H15)),2,1),IF(AND(Suivi&gt;=Z$4,Suivi&lt;Z$4+7),3,0))</f>
        <v/>
      </c>
      <c r="AA15" s="40">
        <f>IF(AND(AA$4&lt;=$G15,AA$4+6&gt;=$E15),IF(OR($H15&gt;=1,AND($H15&gt;0,AA$4+3&lt;$E15+($G15-$E15+1)*$H15)),2,1),IF(AND(Suivi&gt;=AA$4,Suivi&lt;AA$4+7),3,0))</f>
        <v/>
      </c>
      <c r="AB15" s="40">
        <f>IF(AND(AB$4&lt;=$G15,AB$4+6&gt;=$E15),IF(OR($H15&gt;=1,AND($H15&gt;0,AB$4+3&lt;$E15+($G15-$E15+1)*$H15)),2,1),IF(AND(Suivi&gt;=AB$4,Suivi&lt;AB$4+7),3,0))</f>
        <v/>
      </c>
      <c r="AC15" s="40">
        <f>IF(AND(AC$4&lt;=$G15,AC$4+6&gt;=$E15),IF(OR($H15&gt;=1,AND($H15&gt;0,AC$4+3&lt;$E15+($G15-$E15+1)*$H15)),2,1),IF(AND(Suivi&gt;=AC$4,Suivi&lt;AC$4+7),3,0))</f>
        <v/>
      </c>
      <c r="AD15" s="40">
        <f>IF(AND(AD$4&lt;=$G15,AD$4+6&gt;=$E15),IF(OR($H15&gt;=1,AND($H15&gt;0,AD$4+3&lt;$E15+($G15-$E15+1)*$H15)),2,1),IF(AND(Suivi&gt;=AD$4,Suivi&lt;AD$4+7),3,0))</f>
        <v/>
      </c>
      <c r="AE15" s="40">
        <f>IF(AND(AE$4&lt;=$G15,AE$4+6&gt;=$E15),IF(OR($H15&gt;=1,AND($H15&gt;0,AE$4+3&lt;$E15+($G15-$E15+1)*$H15)),2,1),IF(AND(Suivi&gt;=AE$4,Suivi&lt;AE$4+7),3,0))</f>
        <v/>
      </c>
      <c r="AF15" s="40">
        <f>IF(AND(AF$4&lt;=$G15,AF$4+6&gt;=$E15),IF(OR($H15&gt;=1,AND($H15&gt;0,AF$4+3&lt;$E15+($G15-$E15+1)*$H15)),2,1),IF(AND(Suivi&gt;=AF$4,Suivi&lt;AF$4+7),3,0))</f>
        <v/>
      </c>
      <c r="AG15" s="40">
        <f>IF(AND(AG$4&lt;=$G15,AG$4+6&gt;=$E15),IF(OR($H15&gt;=1,AND($H15&gt;0,AG$4+3&lt;$E15+($G15-$E15+1)*$H15)),2,1),IF(AND(Suivi&gt;=AG$4,Suivi&lt;AG$4+7),3,0))</f>
        <v/>
      </c>
      <c r="AH15" s="40">
        <f>IF(AND(AH$4&lt;=$G15,AH$4+6&gt;=$E15),IF(OR($H15&gt;=1,AND($H15&gt;0,AH$4+3&lt;$E15+($G15-$E15+1)*$H15)),2,1),IF(AND(Suivi&gt;=AH$4,Suivi&lt;AH$4+7),3,0))</f>
        <v/>
      </c>
      <c r="AI15" s="40">
        <f>IF(AND(AI$4&lt;=$G15,AI$4+6&gt;=$E15),IF(OR($H15&gt;=1,AND($H15&gt;0,AI$4+3&lt;$E15+($G15-$E15+1)*$H15)),2,1),IF(AND(Suivi&gt;=AI$4,Suivi&lt;AI$4+7),3,0))</f>
        <v/>
      </c>
      <c r="AJ15" s="40">
        <f>IF(AND(AJ$4&lt;=$G15,AJ$4+6&gt;=$E15),IF(OR($H15&gt;=1,AND($H15&gt;0,AJ$4+3&lt;$E15+($G15-$E15+1)*$H15)),2,1),IF(AND(Suivi&gt;=AJ$4,Suivi&lt;AJ$4+7),3,0))</f>
        <v/>
      </c>
      <c r="AK15" s="40">
        <f>IF(AND(AK$4&lt;=$G15,AK$4+6&gt;=$E15),IF(OR($H15&gt;=1,AND($H15&gt;0,AK$4+3&lt;$E15+($G15-$E15+1)*$H15)),2,1),IF(AND(Suivi&gt;=AK$4,Suivi&lt;AK$4+7),3,0))</f>
        <v/>
      </c>
      <c r="AL15" s="40">
        <f>IF(AND(AL$4&lt;=$G15,AL$4+6&gt;=$E15),IF(OR($H15&gt;=1,AND($H15&gt;0,AL$4+3&lt;$E15+($G15-$E15+1)*$H15)),2,1),IF(AND(Suivi&gt;=AL$4,Suivi&lt;AL$4+7),3,0))</f>
        <v/>
      </c>
      <c r="AM15" s="40">
        <f>IF(AND(AM$4&lt;=$G15,AM$4+6&gt;=$E15),IF(OR($H15&gt;=1,AND($H15&gt;0,AM$4+3&lt;$E15+($G15-$E15+1)*$H15)),2,1),IF(AND(Suivi&gt;=AM$4,Suivi&lt;AM$4+7),3,0))</f>
        <v/>
      </c>
      <c r="AN15" s="40">
        <f>IF(AND(AN$4&lt;=$G15,AN$4+6&gt;=$E15),IF(OR($H15&gt;=1,AND($H15&gt;0,AN$4+3&lt;$E15+($G15-$E15+1)*$H15)),2,1),IF(AND(Suivi&gt;=AN$4,Suivi&lt;AN$4+7),3,0))</f>
        <v/>
      </c>
      <c r="AO15" s="40">
        <f>IF(AND(AO$4&lt;=$G15,AO$4+6&gt;=$E15),IF(OR($H15&gt;=1,AND($H15&gt;0,AO$4+3&lt;$E15+($G15-$E15+1)*$H15)),2,1),IF(AND(Suivi&gt;=AO$4,Suivi&lt;AO$4+7),3,0))</f>
        <v/>
      </c>
      <c r="AP15" s="40">
        <f>IF(AND(AP$4&lt;=$G15,AP$4+6&gt;=$E15),IF(OR($H15&gt;=1,AND($H15&gt;0,AP$4+3&lt;$E15+($G15-$E15+1)*$H15)),2,1),IF(AND(Suivi&gt;=AP$4,Suivi&lt;AP$4+7),3,0))</f>
        <v/>
      </c>
      <c r="AQ15" s="40">
        <f>IF(AND(AQ$4&lt;=$G15,AQ$4+6&gt;=$E15),IF(OR($H15&gt;=1,AND($H15&gt;0,AQ$4+3&lt;$E15+($G15-$E15+1)*$H15)),2,1),IF(AND(Suivi&gt;=AQ$4,Suivi&lt;AQ$4+7),3,0))</f>
        <v/>
      </c>
      <c r="AR15" s="40">
        <f>IF(AND(AR$4&lt;=$G15,AR$4+6&gt;=$E15),IF(OR($H15&gt;=1,AND($H15&gt;0,AR$4+3&lt;$E15+($G15-$E15+1)*$H15)),2,1),IF(AND(Suivi&gt;=AR$4,Suivi&lt;AR$4+7),3,0))</f>
        <v/>
      </c>
      <c r="AS15" s="40">
        <f>IF(AND(AS$4&lt;=$G15,AS$4+6&gt;=$E15),IF(OR($H15&gt;=1,AND($H15&gt;0,AS$4+3&lt;$E15+($G15-$E15+1)*$H15)),2,1),IF(AND(Suivi&gt;=AS$4,Suivi&lt;AS$4+7),3,0))</f>
        <v/>
      </c>
      <c r="AT15" s="40">
        <f>IF(AND(AT$4&lt;=$G15,AT$4+6&gt;=$E15),IF(OR($H15&gt;=1,AND($H15&gt;0,AT$4+3&lt;$E15+($G15-$E15+1)*$H15)),2,1),IF(AND(Suivi&gt;=AT$4,Suivi&lt;AT$4+7),3,0))</f>
        <v/>
      </c>
      <c r="AU15" s="40">
        <f>IF(AND(AU$4&lt;=$G15,AU$4+6&gt;=$E15),IF(OR($H15&gt;=1,AND($H15&gt;0,AU$4+3&lt;$E15+($G15-$E15+1)*$H15)),2,1),IF(AND(Suivi&gt;=AU$4,Suivi&lt;AU$4+7),3,0))</f>
        <v/>
      </c>
      <c r="AV15" s="40">
        <f>IF(AND(AV$4&lt;=$G15,AV$4+6&gt;=$E15),IF(OR($H15&gt;=1,AND($H15&gt;0,AV$4+3&lt;$E15+($G15-$E15+1)*$H15)),2,1),IF(AND(Suivi&gt;=AV$4,Suivi&lt;AV$4+7),3,0))</f>
        <v/>
      </c>
      <c r="AW15" s="40">
        <f>IF(AND(AW$4&lt;=$G15,AW$4+6&gt;=$E15),IF(OR($H15&gt;=1,AND($H15&gt;0,AW$4+3&lt;$E15+($G15-$E15+1)*$H15)),2,1),IF(AND(Suivi&gt;=AW$4,Suivi&lt;AW$4+7),3,0))</f>
        <v/>
      </c>
      <c r="AX15" s="40">
        <f>IF(AND(AX$4&lt;=$G15,AX$4+6&gt;=$E15),IF(OR($H15&gt;=1,AND($H15&gt;0,AX$4+3&lt;$E15+($G15-$E15+1)*$H15)),2,1),IF(AND(Suivi&gt;=AX$4,Suivi&lt;AX$4+7),3,0))</f>
        <v/>
      </c>
      <c r="AY15" s="40">
        <f>IF(AND(AY$4&lt;=$G15,AY$4+6&gt;=$E15),IF(OR($H15&gt;=1,AND($H15&gt;0,AY$4+3&lt;$E15+($G15-$E15+1)*$H15)),2,1),IF(AND(Suivi&gt;=AY$4,Suivi&lt;AY$4+7),3,0))</f>
        <v/>
      </c>
      <c r="AZ15" s="40">
        <f>IF(AND(AZ$4&lt;=$G15,AZ$4+6&gt;=$E15),IF(OR($H15&gt;=1,AND($H15&gt;0,AZ$4+3&lt;$E15+($G15-$E15+1)*$H15)),2,1),IF(AND(Suivi&gt;=AZ$4,Suivi&lt;AZ$4+7),3,0))</f>
        <v/>
      </c>
      <c r="BA15" s="40">
        <f>IF(AND(BA$4&lt;=$G15,BA$4+6&gt;=$E15),IF(OR($H15&gt;=1,AND($H15&gt;0,BA$4+3&lt;$E15+($G15-$E15+1)*$H15)),2,1),IF(AND(Suivi&gt;=BA$4,Suivi&lt;BA$4+7),3,0))</f>
        <v/>
      </c>
      <c r="BB15" s="40">
        <f>IF(AND(BB$4&lt;=$G15,BB$4+6&gt;=$E15),IF(OR($H15&gt;=1,AND($H15&gt;0,BB$4+3&lt;$E15+($G15-$E15+1)*$H15)),2,1),IF(AND(Suivi&gt;=BB$4,Suivi&lt;BB$4+7),3,0))</f>
        <v/>
      </c>
      <c r="BC15" s="40">
        <f>IF(AND(BC$4&lt;=$G15,BC$4+6&gt;=$E15),IF(OR($H15&gt;=1,AND($H15&gt;0,BC$4+3&lt;$E15+($G15-$E15+1)*$H15)),2,1),IF(AND(Suivi&gt;=BC$4,Suivi&lt;BC$4+7),3,0))</f>
        <v/>
      </c>
      <c r="BD15" s="40">
        <f>IF(AND(BD$4&lt;=$G15,BD$4+6&gt;=$E15),IF(OR($H15&gt;=1,AND($H15&gt;0,BD$4+3&lt;$E15+($G15-$E15+1)*$H15)),2,1),IF(AND(Suivi&gt;=BD$4,Suivi&lt;BD$4+7),3,0))</f>
        <v/>
      </c>
      <c r="BE15" s="40">
        <f>IF(AND(BE$4&lt;=$G15,BE$4+6&gt;=$E15),IF(OR($H15&gt;=1,AND($H15&gt;0,BE$4+3&lt;$E15+($G15-$E15+1)*$H15)),2,1),IF(AND(Suivi&gt;=BE$4,Suivi&lt;BE$4+7),3,0))</f>
        <v/>
      </c>
      <c r="BF15" s="40">
        <f>IF(AND(BF$4&lt;=$G15,BF$4+6&gt;=$E15),IF(OR($H15&gt;=1,AND($H15&gt;0,BF$4+3&lt;$E15+($G15-$E15+1)*$H15)),2,1),IF(AND(Suivi&gt;=BF$4,Suivi&lt;BF$4+7),3,0))</f>
        <v/>
      </c>
      <c r="BG15" s="40">
        <f>IF(AND(BG$4&lt;=$G15,BG$4+6&gt;=$E15),IF(OR($H15&gt;=1,AND($H15&gt;0,BG$4+3&lt;$E15+($G15-$E15+1)*$H15)),2,1),IF(AND(Suivi&gt;=BG$4,Suivi&lt;BG$4+7),3,0))</f>
        <v/>
      </c>
      <c r="BH15" s="40">
        <f>IF(AND(BH$4&lt;=$G15,BH$4+6&gt;=$E15),IF(OR($H15&gt;=1,AND($H15&gt;0,BH$4+3&lt;$E15+($G15-$E15+1)*$H15)),2,1),IF(AND(Suivi&gt;=BH$4,Suivi&lt;BH$4+7),3,0))</f>
        <v/>
      </c>
      <c r="BI15" s="40">
        <f>IF(AND(BI$4&lt;=$G15,BI$4+6&gt;=$E15),IF(OR($H15&gt;=1,AND($H15&gt;0,BI$4+3&lt;$E15+($G15-$E15+1)*$H15)),2,1),IF(AND(Suivi&gt;=BI$4,Suivi&lt;BI$4+7),3,0))</f>
        <v/>
      </c>
      <c r="BJ15" s="40">
        <f>IF(AND(BJ$4&lt;=$G15,BJ$4+6&gt;=$E15),IF(OR($H15&gt;=1,AND($H15&gt;0,BJ$4+3&lt;$E15+($G15-$E15+1)*$H15)),2,1),IF(AND(Suivi&gt;=BJ$4,Suivi&lt;BJ$4+7),3,0))</f>
        <v/>
      </c>
      <c r="BK15" s="40">
        <f>IF(AND(BK$4&lt;=$G15,BK$4+6&gt;=$E15),IF(OR($H15&gt;=1,AND($H15&gt;0,BK$4+3&lt;$E15+($G15-$E15+1)*$H15)),2,1),IF(AND(Suivi&gt;=BK$4,Suivi&lt;BK$4+7),3,0))</f>
        <v/>
      </c>
      <c r="BL15" s="40">
        <f>IF(AND(BL$4&lt;=$G15,BL$4+6&gt;=$E15),IF(OR($H15&gt;=1,AND($H15&gt;0,BL$4+3&lt;$E15+($G15-$E15+1)*$H15)),2,1),IF(AND(Suivi&gt;=BL$4,Suivi&lt;BL$4+7),3,0))</f>
        <v/>
      </c>
      <c r="BM15" s="40">
        <f>IF(AND(BM$4&lt;=$G15,BM$4+6&gt;=$E15),IF(OR($H15&gt;=1,AND($H15&gt;0,BM$4+3&lt;$E15+($G15-$E15+1)*$H15)),2,1),IF(AND(Suivi&gt;=BM$4,Suivi&lt;BM$4+7),3,0))</f>
        <v/>
      </c>
      <c r="BN15" s="40">
        <f>IF(AND(BN$4&lt;=$G15,BN$4+6&gt;=$E15),IF(OR($H15&gt;=1,AND($H15&gt;0,BN$4+3&lt;$E15+($G15-$E15+1)*$H15)),2,1),IF(AND(Suivi&gt;=BN$4,Suivi&lt;BN$4+7),3,0))</f>
        <v/>
      </c>
      <c r="BO15" s="40">
        <f>IF(AND(BO$4&lt;=$G15,BO$4+6&gt;=$E15),IF(OR($H15&gt;=1,AND($H15&gt;0,BO$4+3&lt;$E15+($G15-$E15+1)*$H15)),2,1),IF(AND(Suivi&gt;=BO$4,Suivi&lt;BO$4+7),3,0))</f>
        <v/>
      </c>
    </row>
    <row r="16" ht="20" customHeight="1">
      <c r="A16" s="36" t="n">
        <v>12</v>
      </c>
      <c r="B16" s="36" t="inlineStr">
        <is>
          <t>التدفئة والتكييف</t>
        </is>
      </c>
      <c r="C16" s="36" t="inlineStr">
        <is>
          <t>شبكات</t>
        </is>
      </c>
      <c r="D16" s="36" t="inlineStr">
        <is>
          <t>فريق التكييف</t>
        </is>
      </c>
      <c r="E16" s="37" t="n">
        <v>46259</v>
      </c>
      <c r="F16" s="36" t="n">
        <v>15</v>
      </c>
      <c r="G16" s="37">
        <f>WORKDAY.INTL(E16,F16-1,Repos)</f>
        <v/>
      </c>
      <c r="H16" s="38" t="n">
        <v>1</v>
      </c>
      <c r="I16" s="36">
        <f>IF(H16&gt;=1,"مكتملة",IF(AND(Suivi&gt;G16,H16&lt;1),"متأخرة",IF(Suivi&lt;E16,"لم تبدأ",IF(H16+0.15&lt;(Suivi-E16)/MAX(1,G16-E16),"تحتاج متابعة","جارية"))))</f>
        <v/>
      </c>
      <c r="J16" s="39" t="n">
        <v>1150000</v>
      </c>
      <c r="L16" s="40">
        <f>IF(AND(L$4&lt;=$G16,L$4+6&gt;=$E16),IF(OR($H16&gt;=1,AND($H16&gt;0,L$4+3&lt;$E16+($G16-$E16+1)*$H16)),2,1),IF(AND(Suivi&gt;=L$4,Suivi&lt;L$4+7),3,0))</f>
        <v/>
      </c>
      <c r="M16" s="40">
        <f>IF(AND(M$4&lt;=$G16,M$4+6&gt;=$E16),IF(OR($H16&gt;=1,AND($H16&gt;0,M$4+3&lt;$E16+($G16-$E16+1)*$H16)),2,1),IF(AND(Suivi&gt;=M$4,Suivi&lt;M$4+7),3,0))</f>
        <v/>
      </c>
      <c r="N16" s="40">
        <f>IF(AND(N$4&lt;=$G16,N$4+6&gt;=$E16),IF(OR($H16&gt;=1,AND($H16&gt;0,N$4+3&lt;$E16+($G16-$E16+1)*$H16)),2,1),IF(AND(Suivi&gt;=N$4,Suivi&lt;N$4+7),3,0))</f>
        <v/>
      </c>
      <c r="O16" s="40">
        <f>IF(AND(O$4&lt;=$G16,O$4+6&gt;=$E16),IF(OR($H16&gt;=1,AND($H16&gt;0,O$4+3&lt;$E16+($G16-$E16+1)*$H16)),2,1),IF(AND(Suivi&gt;=O$4,Suivi&lt;O$4+7),3,0))</f>
        <v/>
      </c>
      <c r="P16" s="40">
        <f>IF(AND(P$4&lt;=$G16,P$4+6&gt;=$E16),IF(OR($H16&gt;=1,AND($H16&gt;0,P$4+3&lt;$E16+($G16-$E16+1)*$H16)),2,1),IF(AND(Suivi&gt;=P$4,Suivi&lt;P$4+7),3,0))</f>
        <v/>
      </c>
      <c r="Q16" s="40">
        <f>IF(AND(Q$4&lt;=$G16,Q$4+6&gt;=$E16),IF(OR($H16&gt;=1,AND($H16&gt;0,Q$4+3&lt;$E16+($G16-$E16+1)*$H16)),2,1),IF(AND(Suivi&gt;=Q$4,Suivi&lt;Q$4+7),3,0))</f>
        <v/>
      </c>
      <c r="R16" s="40">
        <f>IF(AND(R$4&lt;=$G16,R$4+6&gt;=$E16),IF(OR($H16&gt;=1,AND($H16&gt;0,R$4+3&lt;$E16+($G16-$E16+1)*$H16)),2,1),IF(AND(Suivi&gt;=R$4,Suivi&lt;R$4+7),3,0))</f>
        <v/>
      </c>
      <c r="S16" s="40">
        <f>IF(AND(S$4&lt;=$G16,S$4+6&gt;=$E16),IF(OR($H16&gt;=1,AND($H16&gt;0,S$4+3&lt;$E16+($G16-$E16+1)*$H16)),2,1),IF(AND(Suivi&gt;=S$4,Suivi&lt;S$4+7),3,0))</f>
        <v/>
      </c>
      <c r="T16" s="40">
        <f>IF(AND(T$4&lt;=$G16,T$4+6&gt;=$E16),IF(OR($H16&gt;=1,AND($H16&gt;0,T$4+3&lt;$E16+($G16-$E16+1)*$H16)),2,1),IF(AND(Suivi&gt;=T$4,Suivi&lt;T$4+7),3,0))</f>
        <v/>
      </c>
      <c r="U16" s="40">
        <f>IF(AND(U$4&lt;=$G16,U$4+6&gt;=$E16),IF(OR($H16&gt;=1,AND($H16&gt;0,U$4+3&lt;$E16+($G16-$E16+1)*$H16)),2,1),IF(AND(Suivi&gt;=U$4,Suivi&lt;U$4+7),3,0))</f>
        <v/>
      </c>
      <c r="V16" s="40">
        <f>IF(AND(V$4&lt;=$G16,V$4+6&gt;=$E16),IF(OR($H16&gt;=1,AND($H16&gt;0,V$4+3&lt;$E16+($G16-$E16+1)*$H16)),2,1),IF(AND(Suivi&gt;=V$4,Suivi&lt;V$4+7),3,0))</f>
        <v/>
      </c>
      <c r="W16" s="40">
        <f>IF(AND(W$4&lt;=$G16,W$4+6&gt;=$E16),IF(OR($H16&gt;=1,AND($H16&gt;0,W$4+3&lt;$E16+($G16-$E16+1)*$H16)),2,1),IF(AND(Suivi&gt;=W$4,Suivi&lt;W$4+7),3,0))</f>
        <v/>
      </c>
      <c r="X16" s="40">
        <f>IF(AND(X$4&lt;=$G16,X$4+6&gt;=$E16),IF(OR($H16&gt;=1,AND($H16&gt;0,X$4+3&lt;$E16+($G16-$E16+1)*$H16)),2,1),IF(AND(Suivi&gt;=X$4,Suivi&lt;X$4+7),3,0))</f>
        <v/>
      </c>
      <c r="Y16" s="40">
        <f>IF(AND(Y$4&lt;=$G16,Y$4+6&gt;=$E16),IF(OR($H16&gt;=1,AND($H16&gt;0,Y$4+3&lt;$E16+($G16-$E16+1)*$H16)),2,1),IF(AND(Suivi&gt;=Y$4,Suivi&lt;Y$4+7),3,0))</f>
        <v/>
      </c>
      <c r="Z16" s="40">
        <f>IF(AND(Z$4&lt;=$G16,Z$4+6&gt;=$E16),IF(OR($H16&gt;=1,AND($H16&gt;0,Z$4+3&lt;$E16+($G16-$E16+1)*$H16)),2,1),IF(AND(Suivi&gt;=Z$4,Suivi&lt;Z$4+7),3,0))</f>
        <v/>
      </c>
      <c r="AA16" s="40">
        <f>IF(AND(AA$4&lt;=$G16,AA$4+6&gt;=$E16),IF(OR($H16&gt;=1,AND($H16&gt;0,AA$4+3&lt;$E16+($G16-$E16+1)*$H16)),2,1),IF(AND(Suivi&gt;=AA$4,Suivi&lt;AA$4+7),3,0))</f>
        <v/>
      </c>
      <c r="AB16" s="40">
        <f>IF(AND(AB$4&lt;=$G16,AB$4+6&gt;=$E16),IF(OR($H16&gt;=1,AND($H16&gt;0,AB$4+3&lt;$E16+($G16-$E16+1)*$H16)),2,1),IF(AND(Suivi&gt;=AB$4,Suivi&lt;AB$4+7),3,0))</f>
        <v/>
      </c>
      <c r="AC16" s="40">
        <f>IF(AND(AC$4&lt;=$G16,AC$4+6&gt;=$E16),IF(OR($H16&gt;=1,AND($H16&gt;0,AC$4+3&lt;$E16+($G16-$E16+1)*$H16)),2,1),IF(AND(Suivi&gt;=AC$4,Suivi&lt;AC$4+7),3,0))</f>
        <v/>
      </c>
      <c r="AD16" s="40">
        <f>IF(AND(AD$4&lt;=$G16,AD$4+6&gt;=$E16),IF(OR($H16&gt;=1,AND($H16&gt;0,AD$4+3&lt;$E16+($G16-$E16+1)*$H16)),2,1),IF(AND(Suivi&gt;=AD$4,Suivi&lt;AD$4+7),3,0))</f>
        <v/>
      </c>
      <c r="AE16" s="40">
        <f>IF(AND(AE$4&lt;=$G16,AE$4+6&gt;=$E16),IF(OR($H16&gt;=1,AND($H16&gt;0,AE$4+3&lt;$E16+($G16-$E16+1)*$H16)),2,1),IF(AND(Suivi&gt;=AE$4,Suivi&lt;AE$4+7),3,0))</f>
        <v/>
      </c>
      <c r="AF16" s="40">
        <f>IF(AND(AF$4&lt;=$G16,AF$4+6&gt;=$E16),IF(OR($H16&gt;=1,AND($H16&gt;0,AF$4+3&lt;$E16+($G16-$E16+1)*$H16)),2,1),IF(AND(Suivi&gt;=AF$4,Suivi&lt;AF$4+7),3,0))</f>
        <v/>
      </c>
      <c r="AG16" s="40">
        <f>IF(AND(AG$4&lt;=$G16,AG$4+6&gt;=$E16),IF(OR($H16&gt;=1,AND($H16&gt;0,AG$4+3&lt;$E16+($G16-$E16+1)*$H16)),2,1),IF(AND(Suivi&gt;=AG$4,Suivi&lt;AG$4+7),3,0))</f>
        <v/>
      </c>
      <c r="AH16" s="40">
        <f>IF(AND(AH$4&lt;=$G16,AH$4+6&gt;=$E16),IF(OR($H16&gt;=1,AND($H16&gt;0,AH$4+3&lt;$E16+($G16-$E16+1)*$H16)),2,1),IF(AND(Suivi&gt;=AH$4,Suivi&lt;AH$4+7),3,0))</f>
        <v/>
      </c>
      <c r="AI16" s="40">
        <f>IF(AND(AI$4&lt;=$G16,AI$4+6&gt;=$E16),IF(OR($H16&gt;=1,AND($H16&gt;0,AI$4+3&lt;$E16+($G16-$E16+1)*$H16)),2,1),IF(AND(Suivi&gt;=AI$4,Suivi&lt;AI$4+7),3,0))</f>
        <v/>
      </c>
      <c r="AJ16" s="40">
        <f>IF(AND(AJ$4&lt;=$G16,AJ$4+6&gt;=$E16),IF(OR($H16&gt;=1,AND($H16&gt;0,AJ$4+3&lt;$E16+($G16-$E16+1)*$H16)),2,1),IF(AND(Suivi&gt;=AJ$4,Suivi&lt;AJ$4+7),3,0))</f>
        <v/>
      </c>
      <c r="AK16" s="40">
        <f>IF(AND(AK$4&lt;=$G16,AK$4+6&gt;=$E16),IF(OR($H16&gt;=1,AND($H16&gt;0,AK$4+3&lt;$E16+($G16-$E16+1)*$H16)),2,1),IF(AND(Suivi&gt;=AK$4,Suivi&lt;AK$4+7),3,0))</f>
        <v/>
      </c>
      <c r="AL16" s="40">
        <f>IF(AND(AL$4&lt;=$G16,AL$4+6&gt;=$E16),IF(OR($H16&gt;=1,AND($H16&gt;0,AL$4+3&lt;$E16+($G16-$E16+1)*$H16)),2,1),IF(AND(Suivi&gt;=AL$4,Suivi&lt;AL$4+7),3,0))</f>
        <v/>
      </c>
      <c r="AM16" s="40">
        <f>IF(AND(AM$4&lt;=$G16,AM$4+6&gt;=$E16),IF(OR($H16&gt;=1,AND($H16&gt;0,AM$4+3&lt;$E16+($G16-$E16+1)*$H16)),2,1),IF(AND(Suivi&gt;=AM$4,Suivi&lt;AM$4+7),3,0))</f>
        <v/>
      </c>
      <c r="AN16" s="40">
        <f>IF(AND(AN$4&lt;=$G16,AN$4+6&gt;=$E16),IF(OR($H16&gt;=1,AND($H16&gt;0,AN$4+3&lt;$E16+($G16-$E16+1)*$H16)),2,1),IF(AND(Suivi&gt;=AN$4,Suivi&lt;AN$4+7),3,0))</f>
        <v/>
      </c>
      <c r="AO16" s="40">
        <f>IF(AND(AO$4&lt;=$G16,AO$4+6&gt;=$E16),IF(OR($H16&gt;=1,AND($H16&gt;0,AO$4+3&lt;$E16+($G16-$E16+1)*$H16)),2,1),IF(AND(Suivi&gt;=AO$4,Suivi&lt;AO$4+7),3,0))</f>
        <v/>
      </c>
      <c r="AP16" s="40">
        <f>IF(AND(AP$4&lt;=$G16,AP$4+6&gt;=$E16),IF(OR($H16&gt;=1,AND($H16&gt;0,AP$4+3&lt;$E16+($G16-$E16+1)*$H16)),2,1),IF(AND(Suivi&gt;=AP$4,Suivi&lt;AP$4+7),3,0))</f>
        <v/>
      </c>
      <c r="AQ16" s="40">
        <f>IF(AND(AQ$4&lt;=$G16,AQ$4+6&gt;=$E16),IF(OR($H16&gt;=1,AND($H16&gt;0,AQ$4+3&lt;$E16+($G16-$E16+1)*$H16)),2,1),IF(AND(Suivi&gt;=AQ$4,Suivi&lt;AQ$4+7),3,0))</f>
        <v/>
      </c>
      <c r="AR16" s="40">
        <f>IF(AND(AR$4&lt;=$G16,AR$4+6&gt;=$E16),IF(OR($H16&gt;=1,AND($H16&gt;0,AR$4+3&lt;$E16+($G16-$E16+1)*$H16)),2,1),IF(AND(Suivi&gt;=AR$4,Suivi&lt;AR$4+7),3,0))</f>
        <v/>
      </c>
      <c r="AS16" s="40">
        <f>IF(AND(AS$4&lt;=$G16,AS$4+6&gt;=$E16),IF(OR($H16&gt;=1,AND($H16&gt;0,AS$4+3&lt;$E16+($G16-$E16+1)*$H16)),2,1),IF(AND(Suivi&gt;=AS$4,Suivi&lt;AS$4+7),3,0))</f>
        <v/>
      </c>
      <c r="AT16" s="40">
        <f>IF(AND(AT$4&lt;=$G16,AT$4+6&gt;=$E16),IF(OR($H16&gt;=1,AND($H16&gt;0,AT$4+3&lt;$E16+($G16-$E16+1)*$H16)),2,1),IF(AND(Suivi&gt;=AT$4,Suivi&lt;AT$4+7),3,0))</f>
        <v/>
      </c>
      <c r="AU16" s="40">
        <f>IF(AND(AU$4&lt;=$G16,AU$4+6&gt;=$E16),IF(OR($H16&gt;=1,AND($H16&gt;0,AU$4+3&lt;$E16+($G16-$E16+1)*$H16)),2,1),IF(AND(Suivi&gt;=AU$4,Suivi&lt;AU$4+7),3,0))</f>
        <v/>
      </c>
      <c r="AV16" s="40">
        <f>IF(AND(AV$4&lt;=$G16,AV$4+6&gt;=$E16),IF(OR($H16&gt;=1,AND($H16&gt;0,AV$4+3&lt;$E16+($G16-$E16+1)*$H16)),2,1),IF(AND(Suivi&gt;=AV$4,Suivi&lt;AV$4+7),3,0))</f>
        <v/>
      </c>
      <c r="AW16" s="40">
        <f>IF(AND(AW$4&lt;=$G16,AW$4+6&gt;=$E16),IF(OR($H16&gt;=1,AND($H16&gt;0,AW$4+3&lt;$E16+($G16-$E16+1)*$H16)),2,1),IF(AND(Suivi&gt;=AW$4,Suivi&lt;AW$4+7),3,0))</f>
        <v/>
      </c>
      <c r="AX16" s="40">
        <f>IF(AND(AX$4&lt;=$G16,AX$4+6&gt;=$E16),IF(OR($H16&gt;=1,AND($H16&gt;0,AX$4+3&lt;$E16+($G16-$E16+1)*$H16)),2,1),IF(AND(Suivi&gt;=AX$4,Suivi&lt;AX$4+7),3,0))</f>
        <v/>
      </c>
      <c r="AY16" s="40">
        <f>IF(AND(AY$4&lt;=$G16,AY$4+6&gt;=$E16),IF(OR($H16&gt;=1,AND($H16&gt;0,AY$4+3&lt;$E16+($G16-$E16+1)*$H16)),2,1),IF(AND(Suivi&gt;=AY$4,Suivi&lt;AY$4+7),3,0))</f>
        <v/>
      </c>
      <c r="AZ16" s="40">
        <f>IF(AND(AZ$4&lt;=$G16,AZ$4+6&gt;=$E16),IF(OR($H16&gt;=1,AND($H16&gt;0,AZ$4+3&lt;$E16+($G16-$E16+1)*$H16)),2,1),IF(AND(Suivi&gt;=AZ$4,Suivi&lt;AZ$4+7),3,0))</f>
        <v/>
      </c>
      <c r="BA16" s="40">
        <f>IF(AND(BA$4&lt;=$G16,BA$4+6&gt;=$E16),IF(OR($H16&gt;=1,AND($H16&gt;0,BA$4+3&lt;$E16+($G16-$E16+1)*$H16)),2,1),IF(AND(Suivi&gt;=BA$4,Suivi&lt;BA$4+7),3,0))</f>
        <v/>
      </c>
      <c r="BB16" s="40">
        <f>IF(AND(BB$4&lt;=$G16,BB$4+6&gt;=$E16),IF(OR($H16&gt;=1,AND($H16&gt;0,BB$4+3&lt;$E16+($G16-$E16+1)*$H16)),2,1),IF(AND(Suivi&gt;=BB$4,Suivi&lt;BB$4+7),3,0))</f>
        <v/>
      </c>
      <c r="BC16" s="40">
        <f>IF(AND(BC$4&lt;=$G16,BC$4+6&gt;=$E16),IF(OR($H16&gt;=1,AND($H16&gt;0,BC$4+3&lt;$E16+($G16-$E16+1)*$H16)),2,1),IF(AND(Suivi&gt;=BC$4,Suivi&lt;BC$4+7),3,0))</f>
        <v/>
      </c>
      <c r="BD16" s="40">
        <f>IF(AND(BD$4&lt;=$G16,BD$4+6&gt;=$E16),IF(OR($H16&gt;=1,AND($H16&gt;0,BD$4+3&lt;$E16+($G16-$E16+1)*$H16)),2,1),IF(AND(Suivi&gt;=BD$4,Suivi&lt;BD$4+7),3,0))</f>
        <v/>
      </c>
      <c r="BE16" s="40">
        <f>IF(AND(BE$4&lt;=$G16,BE$4+6&gt;=$E16),IF(OR($H16&gt;=1,AND($H16&gt;0,BE$4+3&lt;$E16+($G16-$E16+1)*$H16)),2,1),IF(AND(Suivi&gt;=BE$4,Suivi&lt;BE$4+7),3,0))</f>
        <v/>
      </c>
      <c r="BF16" s="40">
        <f>IF(AND(BF$4&lt;=$G16,BF$4+6&gt;=$E16),IF(OR($H16&gt;=1,AND($H16&gt;0,BF$4+3&lt;$E16+($G16-$E16+1)*$H16)),2,1),IF(AND(Suivi&gt;=BF$4,Suivi&lt;BF$4+7),3,0))</f>
        <v/>
      </c>
      <c r="BG16" s="40">
        <f>IF(AND(BG$4&lt;=$G16,BG$4+6&gt;=$E16),IF(OR($H16&gt;=1,AND($H16&gt;0,BG$4+3&lt;$E16+($G16-$E16+1)*$H16)),2,1),IF(AND(Suivi&gt;=BG$4,Suivi&lt;BG$4+7),3,0))</f>
        <v/>
      </c>
      <c r="BH16" s="40">
        <f>IF(AND(BH$4&lt;=$G16,BH$4+6&gt;=$E16),IF(OR($H16&gt;=1,AND($H16&gt;0,BH$4+3&lt;$E16+($G16-$E16+1)*$H16)),2,1),IF(AND(Suivi&gt;=BH$4,Suivi&lt;BH$4+7),3,0))</f>
        <v/>
      </c>
      <c r="BI16" s="40">
        <f>IF(AND(BI$4&lt;=$G16,BI$4+6&gt;=$E16),IF(OR($H16&gt;=1,AND($H16&gt;0,BI$4+3&lt;$E16+($G16-$E16+1)*$H16)),2,1),IF(AND(Suivi&gt;=BI$4,Suivi&lt;BI$4+7),3,0))</f>
        <v/>
      </c>
      <c r="BJ16" s="40">
        <f>IF(AND(BJ$4&lt;=$G16,BJ$4+6&gt;=$E16),IF(OR($H16&gt;=1,AND($H16&gt;0,BJ$4+3&lt;$E16+($G16-$E16+1)*$H16)),2,1),IF(AND(Suivi&gt;=BJ$4,Suivi&lt;BJ$4+7),3,0))</f>
        <v/>
      </c>
      <c r="BK16" s="40">
        <f>IF(AND(BK$4&lt;=$G16,BK$4+6&gt;=$E16),IF(OR($H16&gt;=1,AND($H16&gt;0,BK$4+3&lt;$E16+($G16-$E16+1)*$H16)),2,1),IF(AND(Suivi&gt;=BK$4,Suivi&lt;BK$4+7),3,0))</f>
        <v/>
      </c>
      <c r="BL16" s="40">
        <f>IF(AND(BL$4&lt;=$G16,BL$4+6&gt;=$E16),IF(OR($H16&gt;=1,AND($H16&gt;0,BL$4+3&lt;$E16+($G16-$E16+1)*$H16)),2,1),IF(AND(Suivi&gt;=BL$4,Suivi&lt;BL$4+7),3,0))</f>
        <v/>
      </c>
      <c r="BM16" s="40">
        <f>IF(AND(BM$4&lt;=$G16,BM$4+6&gt;=$E16),IF(OR($H16&gt;=1,AND($H16&gt;0,BM$4+3&lt;$E16+($G16-$E16+1)*$H16)),2,1),IF(AND(Suivi&gt;=BM$4,Suivi&lt;BM$4+7),3,0))</f>
        <v/>
      </c>
      <c r="BN16" s="40">
        <f>IF(AND(BN$4&lt;=$G16,BN$4+6&gt;=$E16),IF(OR($H16&gt;=1,AND($H16&gt;0,BN$4+3&lt;$E16+($G16-$E16+1)*$H16)),2,1),IF(AND(Suivi&gt;=BN$4,Suivi&lt;BN$4+7),3,0))</f>
        <v/>
      </c>
      <c r="BO16" s="40">
        <f>IF(AND(BO$4&lt;=$G16,BO$4+6&gt;=$E16),IF(OR($H16&gt;=1,AND($H16&gt;0,BO$4+3&lt;$E16+($G16-$E16+1)*$H16)),2,1),IF(AND(Suivi&gt;=BO$4,Suivi&lt;BO$4+7),3,0))</f>
        <v/>
      </c>
    </row>
    <row r="17" ht="20" customHeight="1">
      <c r="A17" s="36" t="n">
        <v>13</v>
      </c>
      <c r="B17" s="36" t="inlineStr">
        <is>
          <t>اللياسة الداخلية والخارجية</t>
        </is>
      </c>
      <c r="C17" s="36" t="inlineStr">
        <is>
          <t>تشطيبات</t>
        </is>
      </c>
      <c r="D17" s="36" t="inlineStr">
        <is>
          <t>فريق التشطيب</t>
        </is>
      </c>
      <c r="E17" s="37" t="n">
        <v>46259</v>
      </c>
      <c r="F17" s="36" t="n">
        <v>33</v>
      </c>
      <c r="G17" s="37">
        <f>WORKDAY.INTL(E17,F17-1,Repos)</f>
        <v/>
      </c>
      <c r="H17" s="38" t="n">
        <v>1</v>
      </c>
      <c r="I17" s="36">
        <f>IF(H17&gt;=1,"مكتملة",IF(AND(Suivi&gt;G17,H17&lt;1),"متأخرة",IF(Suivi&lt;E17,"لم تبدأ",IF(H17+0.15&lt;(Suivi-E17)/MAX(1,G17-E17),"تحتاج متابعة","جارية"))))</f>
        <v/>
      </c>
      <c r="J17" s="39" t="n">
        <v>1300000</v>
      </c>
      <c r="L17" s="40">
        <f>IF(AND(L$4&lt;=$G17,L$4+6&gt;=$E17),IF(OR($H17&gt;=1,AND($H17&gt;0,L$4+3&lt;$E17+($G17-$E17+1)*$H17)),2,1),IF(AND(Suivi&gt;=L$4,Suivi&lt;L$4+7),3,0))</f>
        <v/>
      </c>
      <c r="M17" s="40">
        <f>IF(AND(M$4&lt;=$G17,M$4+6&gt;=$E17),IF(OR($H17&gt;=1,AND($H17&gt;0,M$4+3&lt;$E17+($G17-$E17+1)*$H17)),2,1),IF(AND(Suivi&gt;=M$4,Suivi&lt;M$4+7),3,0))</f>
        <v/>
      </c>
      <c r="N17" s="40">
        <f>IF(AND(N$4&lt;=$G17,N$4+6&gt;=$E17),IF(OR($H17&gt;=1,AND($H17&gt;0,N$4+3&lt;$E17+($G17-$E17+1)*$H17)),2,1),IF(AND(Suivi&gt;=N$4,Suivi&lt;N$4+7),3,0))</f>
        <v/>
      </c>
      <c r="O17" s="40">
        <f>IF(AND(O$4&lt;=$G17,O$4+6&gt;=$E17),IF(OR($H17&gt;=1,AND($H17&gt;0,O$4+3&lt;$E17+($G17-$E17+1)*$H17)),2,1),IF(AND(Suivi&gt;=O$4,Suivi&lt;O$4+7),3,0))</f>
        <v/>
      </c>
      <c r="P17" s="40">
        <f>IF(AND(P$4&lt;=$G17,P$4+6&gt;=$E17),IF(OR($H17&gt;=1,AND($H17&gt;0,P$4+3&lt;$E17+($G17-$E17+1)*$H17)),2,1),IF(AND(Suivi&gt;=P$4,Suivi&lt;P$4+7),3,0))</f>
        <v/>
      </c>
      <c r="Q17" s="40">
        <f>IF(AND(Q$4&lt;=$G17,Q$4+6&gt;=$E17),IF(OR($H17&gt;=1,AND($H17&gt;0,Q$4+3&lt;$E17+($G17-$E17+1)*$H17)),2,1),IF(AND(Suivi&gt;=Q$4,Suivi&lt;Q$4+7),3,0))</f>
        <v/>
      </c>
      <c r="R17" s="40">
        <f>IF(AND(R$4&lt;=$G17,R$4+6&gt;=$E17),IF(OR($H17&gt;=1,AND($H17&gt;0,R$4+3&lt;$E17+($G17-$E17+1)*$H17)),2,1),IF(AND(Suivi&gt;=R$4,Suivi&lt;R$4+7),3,0))</f>
        <v/>
      </c>
      <c r="S17" s="40">
        <f>IF(AND(S$4&lt;=$G17,S$4+6&gt;=$E17),IF(OR($H17&gt;=1,AND($H17&gt;0,S$4+3&lt;$E17+($G17-$E17+1)*$H17)),2,1),IF(AND(Suivi&gt;=S$4,Suivi&lt;S$4+7),3,0))</f>
        <v/>
      </c>
      <c r="T17" s="40">
        <f>IF(AND(T$4&lt;=$G17,T$4+6&gt;=$E17),IF(OR($H17&gt;=1,AND($H17&gt;0,T$4+3&lt;$E17+($G17-$E17+1)*$H17)),2,1),IF(AND(Suivi&gt;=T$4,Suivi&lt;T$4+7),3,0))</f>
        <v/>
      </c>
      <c r="U17" s="40">
        <f>IF(AND(U$4&lt;=$G17,U$4+6&gt;=$E17),IF(OR($H17&gt;=1,AND($H17&gt;0,U$4+3&lt;$E17+($G17-$E17+1)*$H17)),2,1),IF(AND(Suivi&gt;=U$4,Suivi&lt;U$4+7),3,0))</f>
        <v/>
      </c>
      <c r="V17" s="40">
        <f>IF(AND(V$4&lt;=$G17,V$4+6&gt;=$E17),IF(OR($H17&gt;=1,AND($H17&gt;0,V$4+3&lt;$E17+($G17-$E17+1)*$H17)),2,1),IF(AND(Suivi&gt;=V$4,Suivi&lt;V$4+7),3,0))</f>
        <v/>
      </c>
      <c r="W17" s="40">
        <f>IF(AND(W$4&lt;=$G17,W$4+6&gt;=$E17),IF(OR($H17&gt;=1,AND($H17&gt;0,W$4+3&lt;$E17+($G17-$E17+1)*$H17)),2,1),IF(AND(Suivi&gt;=W$4,Suivi&lt;W$4+7),3,0))</f>
        <v/>
      </c>
      <c r="X17" s="40">
        <f>IF(AND(X$4&lt;=$G17,X$4+6&gt;=$E17),IF(OR($H17&gt;=1,AND($H17&gt;0,X$4+3&lt;$E17+($G17-$E17+1)*$H17)),2,1),IF(AND(Suivi&gt;=X$4,Suivi&lt;X$4+7),3,0))</f>
        <v/>
      </c>
      <c r="Y17" s="40">
        <f>IF(AND(Y$4&lt;=$G17,Y$4+6&gt;=$E17),IF(OR($H17&gt;=1,AND($H17&gt;0,Y$4+3&lt;$E17+($G17-$E17+1)*$H17)),2,1),IF(AND(Suivi&gt;=Y$4,Suivi&lt;Y$4+7),3,0))</f>
        <v/>
      </c>
      <c r="Z17" s="40">
        <f>IF(AND(Z$4&lt;=$G17,Z$4+6&gt;=$E17),IF(OR($H17&gt;=1,AND($H17&gt;0,Z$4+3&lt;$E17+($G17-$E17+1)*$H17)),2,1),IF(AND(Suivi&gt;=Z$4,Suivi&lt;Z$4+7),3,0))</f>
        <v/>
      </c>
      <c r="AA17" s="40">
        <f>IF(AND(AA$4&lt;=$G17,AA$4+6&gt;=$E17),IF(OR($H17&gt;=1,AND($H17&gt;0,AA$4+3&lt;$E17+($G17-$E17+1)*$H17)),2,1),IF(AND(Suivi&gt;=AA$4,Suivi&lt;AA$4+7),3,0))</f>
        <v/>
      </c>
      <c r="AB17" s="40">
        <f>IF(AND(AB$4&lt;=$G17,AB$4+6&gt;=$E17),IF(OR($H17&gt;=1,AND($H17&gt;0,AB$4+3&lt;$E17+($G17-$E17+1)*$H17)),2,1),IF(AND(Suivi&gt;=AB$4,Suivi&lt;AB$4+7),3,0))</f>
        <v/>
      </c>
      <c r="AC17" s="40">
        <f>IF(AND(AC$4&lt;=$G17,AC$4+6&gt;=$E17),IF(OR($H17&gt;=1,AND($H17&gt;0,AC$4+3&lt;$E17+($G17-$E17+1)*$H17)),2,1),IF(AND(Suivi&gt;=AC$4,Suivi&lt;AC$4+7),3,0))</f>
        <v/>
      </c>
      <c r="AD17" s="40">
        <f>IF(AND(AD$4&lt;=$G17,AD$4+6&gt;=$E17),IF(OR($H17&gt;=1,AND($H17&gt;0,AD$4+3&lt;$E17+($G17-$E17+1)*$H17)),2,1),IF(AND(Suivi&gt;=AD$4,Suivi&lt;AD$4+7),3,0))</f>
        <v/>
      </c>
      <c r="AE17" s="40">
        <f>IF(AND(AE$4&lt;=$G17,AE$4+6&gt;=$E17),IF(OR($H17&gt;=1,AND($H17&gt;0,AE$4+3&lt;$E17+($G17-$E17+1)*$H17)),2,1),IF(AND(Suivi&gt;=AE$4,Suivi&lt;AE$4+7),3,0))</f>
        <v/>
      </c>
      <c r="AF17" s="40">
        <f>IF(AND(AF$4&lt;=$G17,AF$4+6&gt;=$E17),IF(OR($H17&gt;=1,AND($H17&gt;0,AF$4+3&lt;$E17+($G17-$E17+1)*$H17)),2,1),IF(AND(Suivi&gt;=AF$4,Suivi&lt;AF$4+7),3,0))</f>
        <v/>
      </c>
      <c r="AG17" s="40">
        <f>IF(AND(AG$4&lt;=$G17,AG$4+6&gt;=$E17),IF(OR($H17&gt;=1,AND($H17&gt;0,AG$4+3&lt;$E17+($G17-$E17+1)*$H17)),2,1),IF(AND(Suivi&gt;=AG$4,Suivi&lt;AG$4+7),3,0))</f>
        <v/>
      </c>
      <c r="AH17" s="40">
        <f>IF(AND(AH$4&lt;=$G17,AH$4+6&gt;=$E17),IF(OR($H17&gt;=1,AND($H17&gt;0,AH$4+3&lt;$E17+($G17-$E17+1)*$H17)),2,1),IF(AND(Suivi&gt;=AH$4,Suivi&lt;AH$4+7),3,0))</f>
        <v/>
      </c>
      <c r="AI17" s="40">
        <f>IF(AND(AI$4&lt;=$G17,AI$4+6&gt;=$E17),IF(OR($H17&gt;=1,AND($H17&gt;0,AI$4+3&lt;$E17+($G17-$E17+1)*$H17)),2,1),IF(AND(Suivi&gt;=AI$4,Suivi&lt;AI$4+7),3,0))</f>
        <v/>
      </c>
      <c r="AJ17" s="40">
        <f>IF(AND(AJ$4&lt;=$G17,AJ$4+6&gt;=$E17),IF(OR($H17&gt;=1,AND($H17&gt;0,AJ$4+3&lt;$E17+($G17-$E17+1)*$H17)),2,1),IF(AND(Suivi&gt;=AJ$4,Suivi&lt;AJ$4+7),3,0))</f>
        <v/>
      </c>
      <c r="AK17" s="40">
        <f>IF(AND(AK$4&lt;=$G17,AK$4+6&gt;=$E17),IF(OR($H17&gt;=1,AND($H17&gt;0,AK$4+3&lt;$E17+($G17-$E17+1)*$H17)),2,1),IF(AND(Suivi&gt;=AK$4,Suivi&lt;AK$4+7),3,0))</f>
        <v/>
      </c>
      <c r="AL17" s="40">
        <f>IF(AND(AL$4&lt;=$G17,AL$4+6&gt;=$E17),IF(OR($H17&gt;=1,AND($H17&gt;0,AL$4+3&lt;$E17+($G17-$E17+1)*$H17)),2,1),IF(AND(Suivi&gt;=AL$4,Suivi&lt;AL$4+7),3,0))</f>
        <v/>
      </c>
      <c r="AM17" s="40">
        <f>IF(AND(AM$4&lt;=$G17,AM$4+6&gt;=$E17),IF(OR($H17&gt;=1,AND($H17&gt;0,AM$4+3&lt;$E17+($G17-$E17+1)*$H17)),2,1),IF(AND(Suivi&gt;=AM$4,Suivi&lt;AM$4+7),3,0))</f>
        <v/>
      </c>
      <c r="AN17" s="40">
        <f>IF(AND(AN$4&lt;=$G17,AN$4+6&gt;=$E17),IF(OR($H17&gt;=1,AND($H17&gt;0,AN$4+3&lt;$E17+($G17-$E17+1)*$H17)),2,1),IF(AND(Suivi&gt;=AN$4,Suivi&lt;AN$4+7),3,0))</f>
        <v/>
      </c>
      <c r="AO17" s="40">
        <f>IF(AND(AO$4&lt;=$G17,AO$4+6&gt;=$E17),IF(OR($H17&gt;=1,AND($H17&gt;0,AO$4+3&lt;$E17+($G17-$E17+1)*$H17)),2,1),IF(AND(Suivi&gt;=AO$4,Suivi&lt;AO$4+7),3,0))</f>
        <v/>
      </c>
      <c r="AP17" s="40">
        <f>IF(AND(AP$4&lt;=$G17,AP$4+6&gt;=$E17),IF(OR($H17&gt;=1,AND($H17&gt;0,AP$4+3&lt;$E17+($G17-$E17+1)*$H17)),2,1),IF(AND(Suivi&gt;=AP$4,Suivi&lt;AP$4+7),3,0))</f>
        <v/>
      </c>
      <c r="AQ17" s="40">
        <f>IF(AND(AQ$4&lt;=$G17,AQ$4+6&gt;=$E17),IF(OR($H17&gt;=1,AND($H17&gt;0,AQ$4+3&lt;$E17+($G17-$E17+1)*$H17)),2,1),IF(AND(Suivi&gt;=AQ$4,Suivi&lt;AQ$4+7),3,0))</f>
        <v/>
      </c>
      <c r="AR17" s="40">
        <f>IF(AND(AR$4&lt;=$G17,AR$4+6&gt;=$E17),IF(OR($H17&gt;=1,AND($H17&gt;0,AR$4+3&lt;$E17+($G17-$E17+1)*$H17)),2,1),IF(AND(Suivi&gt;=AR$4,Suivi&lt;AR$4+7),3,0))</f>
        <v/>
      </c>
      <c r="AS17" s="40">
        <f>IF(AND(AS$4&lt;=$G17,AS$4+6&gt;=$E17),IF(OR($H17&gt;=1,AND($H17&gt;0,AS$4+3&lt;$E17+($G17-$E17+1)*$H17)),2,1),IF(AND(Suivi&gt;=AS$4,Suivi&lt;AS$4+7),3,0))</f>
        <v/>
      </c>
      <c r="AT17" s="40">
        <f>IF(AND(AT$4&lt;=$G17,AT$4+6&gt;=$E17),IF(OR($H17&gt;=1,AND($H17&gt;0,AT$4+3&lt;$E17+($G17-$E17+1)*$H17)),2,1),IF(AND(Suivi&gt;=AT$4,Suivi&lt;AT$4+7),3,0))</f>
        <v/>
      </c>
      <c r="AU17" s="40">
        <f>IF(AND(AU$4&lt;=$G17,AU$4+6&gt;=$E17),IF(OR($H17&gt;=1,AND($H17&gt;0,AU$4+3&lt;$E17+($G17-$E17+1)*$H17)),2,1),IF(AND(Suivi&gt;=AU$4,Suivi&lt;AU$4+7),3,0))</f>
        <v/>
      </c>
      <c r="AV17" s="40">
        <f>IF(AND(AV$4&lt;=$G17,AV$4+6&gt;=$E17),IF(OR($H17&gt;=1,AND($H17&gt;0,AV$4+3&lt;$E17+($G17-$E17+1)*$H17)),2,1),IF(AND(Suivi&gt;=AV$4,Suivi&lt;AV$4+7),3,0))</f>
        <v/>
      </c>
      <c r="AW17" s="40">
        <f>IF(AND(AW$4&lt;=$G17,AW$4+6&gt;=$E17),IF(OR($H17&gt;=1,AND($H17&gt;0,AW$4+3&lt;$E17+($G17-$E17+1)*$H17)),2,1),IF(AND(Suivi&gt;=AW$4,Suivi&lt;AW$4+7),3,0))</f>
        <v/>
      </c>
      <c r="AX17" s="40">
        <f>IF(AND(AX$4&lt;=$G17,AX$4+6&gt;=$E17),IF(OR($H17&gt;=1,AND($H17&gt;0,AX$4+3&lt;$E17+($G17-$E17+1)*$H17)),2,1),IF(AND(Suivi&gt;=AX$4,Suivi&lt;AX$4+7),3,0))</f>
        <v/>
      </c>
      <c r="AY17" s="40">
        <f>IF(AND(AY$4&lt;=$G17,AY$4+6&gt;=$E17),IF(OR($H17&gt;=1,AND($H17&gt;0,AY$4+3&lt;$E17+($G17-$E17+1)*$H17)),2,1),IF(AND(Suivi&gt;=AY$4,Suivi&lt;AY$4+7),3,0))</f>
        <v/>
      </c>
      <c r="AZ17" s="40">
        <f>IF(AND(AZ$4&lt;=$G17,AZ$4+6&gt;=$E17),IF(OR($H17&gt;=1,AND($H17&gt;0,AZ$4+3&lt;$E17+($G17-$E17+1)*$H17)),2,1),IF(AND(Suivi&gt;=AZ$4,Suivi&lt;AZ$4+7),3,0))</f>
        <v/>
      </c>
      <c r="BA17" s="40">
        <f>IF(AND(BA$4&lt;=$G17,BA$4+6&gt;=$E17),IF(OR($H17&gt;=1,AND($H17&gt;0,BA$4+3&lt;$E17+($G17-$E17+1)*$H17)),2,1),IF(AND(Suivi&gt;=BA$4,Suivi&lt;BA$4+7),3,0))</f>
        <v/>
      </c>
      <c r="BB17" s="40">
        <f>IF(AND(BB$4&lt;=$G17,BB$4+6&gt;=$E17),IF(OR($H17&gt;=1,AND($H17&gt;0,BB$4+3&lt;$E17+($G17-$E17+1)*$H17)),2,1),IF(AND(Suivi&gt;=BB$4,Suivi&lt;BB$4+7),3,0))</f>
        <v/>
      </c>
      <c r="BC17" s="40">
        <f>IF(AND(BC$4&lt;=$G17,BC$4+6&gt;=$E17),IF(OR($H17&gt;=1,AND($H17&gt;0,BC$4+3&lt;$E17+($G17-$E17+1)*$H17)),2,1),IF(AND(Suivi&gt;=BC$4,Suivi&lt;BC$4+7),3,0))</f>
        <v/>
      </c>
      <c r="BD17" s="40">
        <f>IF(AND(BD$4&lt;=$G17,BD$4+6&gt;=$E17),IF(OR($H17&gt;=1,AND($H17&gt;0,BD$4+3&lt;$E17+($G17-$E17+1)*$H17)),2,1),IF(AND(Suivi&gt;=BD$4,Suivi&lt;BD$4+7),3,0))</f>
        <v/>
      </c>
      <c r="BE17" s="40">
        <f>IF(AND(BE$4&lt;=$G17,BE$4+6&gt;=$E17),IF(OR($H17&gt;=1,AND($H17&gt;0,BE$4+3&lt;$E17+($G17-$E17+1)*$H17)),2,1),IF(AND(Suivi&gt;=BE$4,Suivi&lt;BE$4+7),3,0))</f>
        <v/>
      </c>
      <c r="BF17" s="40">
        <f>IF(AND(BF$4&lt;=$G17,BF$4+6&gt;=$E17),IF(OR($H17&gt;=1,AND($H17&gt;0,BF$4+3&lt;$E17+($G17-$E17+1)*$H17)),2,1),IF(AND(Suivi&gt;=BF$4,Suivi&lt;BF$4+7),3,0))</f>
        <v/>
      </c>
      <c r="BG17" s="40">
        <f>IF(AND(BG$4&lt;=$G17,BG$4+6&gt;=$E17),IF(OR($H17&gt;=1,AND($H17&gt;0,BG$4+3&lt;$E17+($G17-$E17+1)*$H17)),2,1),IF(AND(Suivi&gt;=BG$4,Suivi&lt;BG$4+7),3,0))</f>
        <v/>
      </c>
      <c r="BH17" s="40">
        <f>IF(AND(BH$4&lt;=$G17,BH$4+6&gt;=$E17),IF(OR($H17&gt;=1,AND($H17&gt;0,BH$4+3&lt;$E17+($G17-$E17+1)*$H17)),2,1),IF(AND(Suivi&gt;=BH$4,Suivi&lt;BH$4+7),3,0))</f>
        <v/>
      </c>
      <c r="BI17" s="40">
        <f>IF(AND(BI$4&lt;=$G17,BI$4+6&gt;=$E17),IF(OR($H17&gt;=1,AND($H17&gt;0,BI$4+3&lt;$E17+($G17-$E17+1)*$H17)),2,1),IF(AND(Suivi&gt;=BI$4,Suivi&lt;BI$4+7),3,0))</f>
        <v/>
      </c>
      <c r="BJ17" s="40">
        <f>IF(AND(BJ$4&lt;=$G17,BJ$4+6&gt;=$E17),IF(OR($H17&gt;=1,AND($H17&gt;0,BJ$4+3&lt;$E17+($G17-$E17+1)*$H17)),2,1),IF(AND(Suivi&gt;=BJ$4,Suivi&lt;BJ$4+7),3,0))</f>
        <v/>
      </c>
      <c r="BK17" s="40">
        <f>IF(AND(BK$4&lt;=$G17,BK$4+6&gt;=$E17),IF(OR($H17&gt;=1,AND($H17&gt;0,BK$4+3&lt;$E17+($G17-$E17+1)*$H17)),2,1),IF(AND(Suivi&gt;=BK$4,Suivi&lt;BK$4+7),3,0))</f>
        <v/>
      </c>
      <c r="BL17" s="40">
        <f>IF(AND(BL$4&lt;=$G17,BL$4+6&gt;=$E17),IF(OR($H17&gt;=1,AND($H17&gt;0,BL$4+3&lt;$E17+($G17-$E17+1)*$H17)),2,1),IF(AND(Suivi&gt;=BL$4,Suivi&lt;BL$4+7),3,0))</f>
        <v/>
      </c>
      <c r="BM17" s="40">
        <f>IF(AND(BM$4&lt;=$G17,BM$4+6&gt;=$E17),IF(OR($H17&gt;=1,AND($H17&gt;0,BM$4+3&lt;$E17+($G17-$E17+1)*$H17)),2,1),IF(AND(Suivi&gt;=BM$4,Suivi&lt;BM$4+7),3,0))</f>
        <v/>
      </c>
      <c r="BN17" s="40">
        <f>IF(AND(BN$4&lt;=$G17,BN$4+6&gt;=$E17),IF(OR($H17&gt;=1,AND($H17&gt;0,BN$4+3&lt;$E17+($G17-$E17+1)*$H17)),2,1),IF(AND(Suivi&gt;=BN$4,Suivi&lt;BN$4+7),3,0))</f>
        <v/>
      </c>
      <c r="BO17" s="40">
        <f>IF(AND(BO$4&lt;=$G17,BO$4+6&gt;=$E17),IF(OR($H17&gt;=1,AND($H17&gt;0,BO$4+3&lt;$E17+($G17-$E17+1)*$H17)),2,1),IF(AND(Suivi&gt;=BO$4,Suivi&lt;BO$4+7),3,0))</f>
        <v/>
      </c>
    </row>
    <row r="18" ht="20" customHeight="1">
      <c r="A18" s="36" t="n">
        <v>14</v>
      </c>
      <c r="B18" s="36" t="inlineStr">
        <is>
          <t>نوافذ وأبواب الألمنيوم</t>
        </is>
      </c>
      <c r="C18" s="36" t="inlineStr">
        <is>
          <t>نجارة وألمنيوم</t>
        </is>
      </c>
      <c r="D18" s="36" t="inlineStr">
        <is>
          <t>ورشة الألمنيوم</t>
        </is>
      </c>
      <c r="E18" s="37" t="n">
        <v>46298</v>
      </c>
      <c r="F18" s="36" t="n">
        <v>15</v>
      </c>
      <c r="G18" s="37">
        <f>WORKDAY.INTL(E18,F18-1,Repos)</f>
        <v/>
      </c>
      <c r="H18" s="38" t="n">
        <v>0.8</v>
      </c>
      <c r="I18" s="36">
        <f>IF(H18&gt;=1,"مكتملة",IF(AND(Suivi&gt;G18,H18&lt;1),"متأخرة",IF(Suivi&lt;E18,"لم تبدأ",IF(H18+0.15&lt;(Suivi-E18)/MAX(1,G18-E18),"تحتاج متابعة","جارية"))))</f>
        <v/>
      </c>
      <c r="J18" s="39" t="n">
        <v>1700000</v>
      </c>
      <c r="L18" s="40">
        <f>IF(AND(L$4&lt;=$G18,L$4+6&gt;=$E18),IF(OR($H18&gt;=1,AND($H18&gt;0,L$4+3&lt;$E18+($G18-$E18+1)*$H18)),2,1),IF(AND(Suivi&gt;=L$4,Suivi&lt;L$4+7),3,0))</f>
        <v/>
      </c>
      <c r="M18" s="40">
        <f>IF(AND(M$4&lt;=$G18,M$4+6&gt;=$E18),IF(OR($H18&gt;=1,AND($H18&gt;0,M$4+3&lt;$E18+($G18-$E18+1)*$H18)),2,1),IF(AND(Suivi&gt;=M$4,Suivi&lt;M$4+7),3,0))</f>
        <v/>
      </c>
      <c r="N18" s="40">
        <f>IF(AND(N$4&lt;=$G18,N$4+6&gt;=$E18),IF(OR($H18&gt;=1,AND($H18&gt;0,N$4+3&lt;$E18+($G18-$E18+1)*$H18)),2,1),IF(AND(Suivi&gt;=N$4,Suivi&lt;N$4+7),3,0))</f>
        <v/>
      </c>
      <c r="O18" s="40">
        <f>IF(AND(O$4&lt;=$G18,O$4+6&gt;=$E18),IF(OR($H18&gt;=1,AND($H18&gt;0,O$4+3&lt;$E18+($G18-$E18+1)*$H18)),2,1),IF(AND(Suivi&gt;=O$4,Suivi&lt;O$4+7),3,0))</f>
        <v/>
      </c>
      <c r="P18" s="40">
        <f>IF(AND(P$4&lt;=$G18,P$4+6&gt;=$E18),IF(OR($H18&gt;=1,AND($H18&gt;0,P$4+3&lt;$E18+($G18-$E18+1)*$H18)),2,1),IF(AND(Suivi&gt;=P$4,Suivi&lt;P$4+7),3,0))</f>
        <v/>
      </c>
      <c r="Q18" s="40">
        <f>IF(AND(Q$4&lt;=$G18,Q$4+6&gt;=$E18),IF(OR($H18&gt;=1,AND($H18&gt;0,Q$4+3&lt;$E18+($G18-$E18+1)*$H18)),2,1),IF(AND(Suivi&gt;=Q$4,Suivi&lt;Q$4+7),3,0))</f>
        <v/>
      </c>
      <c r="R18" s="40">
        <f>IF(AND(R$4&lt;=$G18,R$4+6&gt;=$E18),IF(OR($H18&gt;=1,AND($H18&gt;0,R$4+3&lt;$E18+($G18-$E18+1)*$H18)),2,1),IF(AND(Suivi&gt;=R$4,Suivi&lt;R$4+7),3,0))</f>
        <v/>
      </c>
      <c r="S18" s="40">
        <f>IF(AND(S$4&lt;=$G18,S$4+6&gt;=$E18),IF(OR($H18&gt;=1,AND($H18&gt;0,S$4+3&lt;$E18+($G18-$E18+1)*$H18)),2,1),IF(AND(Suivi&gt;=S$4,Suivi&lt;S$4+7),3,0))</f>
        <v/>
      </c>
      <c r="T18" s="40">
        <f>IF(AND(T$4&lt;=$G18,T$4+6&gt;=$E18),IF(OR($H18&gt;=1,AND($H18&gt;0,T$4+3&lt;$E18+($G18-$E18+1)*$H18)),2,1),IF(AND(Suivi&gt;=T$4,Suivi&lt;T$4+7),3,0))</f>
        <v/>
      </c>
      <c r="U18" s="40">
        <f>IF(AND(U$4&lt;=$G18,U$4+6&gt;=$E18),IF(OR($H18&gt;=1,AND($H18&gt;0,U$4+3&lt;$E18+($G18-$E18+1)*$H18)),2,1),IF(AND(Suivi&gt;=U$4,Suivi&lt;U$4+7),3,0))</f>
        <v/>
      </c>
      <c r="V18" s="40">
        <f>IF(AND(V$4&lt;=$G18,V$4+6&gt;=$E18),IF(OR($H18&gt;=1,AND($H18&gt;0,V$4+3&lt;$E18+($G18-$E18+1)*$H18)),2,1),IF(AND(Suivi&gt;=V$4,Suivi&lt;V$4+7),3,0))</f>
        <v/>
      </c>
      <c r="W18" s="40">
        <f>IF(AND(W$4&lt;=$G18,W$4+6&gt;=$E18),IF(OR($H18&gt;=1,AND($H18&gt;0,W$4+3&lt;$E18+($G18-$E18+1)*$H18)),2,1),IF(AND(Suivi&gt;=W$4,Suivi&lt;W$4+7),3,0))</f>
        <v/>
      </c>
      <c r="X18" s="40">
        <f>IF(AND(X$4&lt;=$G18,X$4+6&gt;=$E18),IF(OR($H18&gt;=1,AND($H18&gt;0,X$4+3&lt;$E18+($G18-$E18+1)*$H18)),2,1),IF(AND(Suivi&gt;=X$4,Suivi&lt;X$4+7),3,0))</f>
        <v/>
      </c>
      <c r="Y18" s="40">
        <f>IF(AND(Y$4&lt;=$G18,Y$4+6&gt;=$E18),IF(OR($H18&gt;=1,AND($H18&gt;0,Y$4+3&lt;$E18+($G18-$E18+1)*$H18)),2,1),IF(AND(Suivi&gt;=Y$4,Suivi&lt;Y$4+7),3,0))</f>
        <v/>
      </c>
      <c r="Z18" s="40">
        <f>IF(AND(Z$4&lt;=$G18,Z$4+6&gt;=$E18),IF(OR($H18&gt;=1,AND($H18&gt;0,Z$4+3&lt;$E18+($G18-$E18+1)*$H18)),2,1),IF(AND(Suivi&gt;=Z$4,Suivi&lt;Z$4+7),3,0))</f>
        <v/>
      </c>
      <c r="AA18" s="40">
        <f>IF(AND(AA$4&lt;=$G18,AA$4+6&gt;=$E18),IF(OR($H18&gt;=1,AND($H18&gt;0,AA$4+3&lt;$E18+($G18-$E18+1)*$H18)),2,1),IF(AND(Suivi&gt;=AA$4,Suivi&lt;AA$4+7),3,0))</f>
        <v/>
      </c>
      <c r="AB18" s="40">
        <f>IF(AND(AB$4&lt;=$G18,AB$4+6&gt;=$E18),IF(OR($H18&gt;=1,AND($H18&gt;0,AB$4+3&lt;$E18+($G18-$E18+1)*$H18)),2,1),IF(AND(Suivi&gt;=AB$4,Suivi&lt;AB$4+7),3,0))</f>
        <v/>
      </c>
      <c r="AC18" s="40">
        <f>IF(AND(AC$4&lt;=$G18,AC$4+6&gt;=$E18),IF(OR($H18&gt;=1,AND($H18&gt;0,AC$4+3&lt;$E18+($G18-$E18+1)*$H18)),2,1),IF(AND(Suivi&gt;=AC$4,Suivi&lt;AC$4+7),3,0))</f>
        <v/>
      </c>
      <c r="AD18" s="40">
        <f>IF(AND(AD$4&lt;=$G18,AD$4+6&gt;=$E18),IF(OR($H18&gt;=1,AND($H18&gt;0,AD$4+3&lt;$E18+($G18-$E18+1)*$H18)),2,1),IF(AND(Suivi&gt;=AD$4,Suivi&lt;AD$4+7),3,0))</f>
        <v/>
      </c>
      <c r="AE18" s="40">
        <f>IF(AND(AE$4&lt;=$G18,AE$4+6&gt;=$E18),IF(OR($H18&gt;=1,AND($H18&gt;0,AE$4+3&lt;$E18+($G18-$E18+1)*$H18)),2,1),IF(AND(Suivi&gt;=AE$4,Suivi&lt;AE$4+7),3,0))</f>
        <v/>
      </c>
      <c r="AF18" s="40">
        <f>IF(AND(AF$4&lt;=$G18,AF$4+6&gt;=$E18),IF(OR($H18&gt;=1,AND($H18&gt;0,AF$4+3&lt;$E18+($G18-$E18+1)*$H18)),2,1),IF(AND(Suivi&gt;=AF$4,Suivi&lt;AF$4+7),3,0))</f>
        <v/>
      </c>
      <c r="AG18" s="40">
        <f>IF(AND(AG$4&lt;=$G18,AG$4+6&gt;=$E18),IF(OR($H18&gt;=1,AND($H18&gt;0,AG$4+3&lt;$E18+($G18-$E18+1)*$H18)),2,1),IF(AND(Suivi&gt;=AG$4,Suivi&lt;AG$4+7),3,0))</f>
        <v/>
      </c>
      <c r="AH18" s="40">
        <f>IF(AND(AH$4&lt;=$G18,AH$4+6&gt;=$E18),IF(OR($H18&gt;=1,AND($H18&gt;0,AH$4+3&lt;$E18+($G18-$E18+1)*$H18)),2,1),IF(AND(Suivi&gt;=AH$4,Suivi&lt;AH$4+7),3,0))</f>
        <v/>
      </c>
      <c r="AI18" s="40">
        <f>IF(AND(AI$4&lt;=$G18,AI$4+6&gt;=$E18),IF(OR($H18&gt;=1,AND($H18&gt;0,AI$4+3&lt;$E18+($G18-$E18+1)*$H18)),2,1),IF(AND(Suivi&gt;=AI$4,Suivi&lt;AI$4+7),3,0))</f>
        <v/>
      </c>
      <c r="AJ18" s="40">
        <f>IF(AND(AJ$4&lt;=$G18,AJ$4+6&gt;=$E18),IF(OR($H18&gt;=1,AND($H18&gt;0,AJ$4+3&lt;$E18+($G18-$E18+1)*$H18)),2,1),IF(AND(Suivi&gt;=AJ$4,Suivi&lt;AJ$4+7),3,0))</f>
        <v/>
      </c>
      <c r="AK18" s="40">
        <f>IF(AND(AK$4&lt;=$G18,AK$4+6&gt;=$E18),IF(OR($H18&gt;=1,AND($H18&gt;0,AK$4+3&lt;$E18+($G18-$E18+1)*$H18)),2,1),IF(AND(Suivi&gt;=AK$4,Suivi&lt;AK$4+7),3,0))</f>
        <v/>
      </c>
      <c r="AL18" s="40">
        <f>IF(AND(AL$4&lt;=$G18,AL$4+6&gt;=$E18),IF(OR($H18&gt;=1,AND($H18&gt;0,AL$4+3&lt;$E18+($G18-$E18+1)*$H18)),2,1),IF(AND(Suivi&gt;=AL$4,Suivi&lt;AL$4+7),3,0))</f>
        <v/>
      </c>
      <c r="AM18" s="40">
        <f>IF(AND(AM$4&lt;=$G18,AM$4+6&gt;=$E18),IF(OR($H18&gt;=1,AND($H18&gt;0,AM$4+3&lt;$E18+($G18-$E18+1)*$H18)),2,1),IF(AND(Suivi&gt;=AM$4,Suivi&lt;AM$4+7),3,0))</f>
        <v/>
      </c>
      <c r="AN18" s="40">
        <f>IF(AND(AN$4&lt;=$G18,AN$4+6&gt;=$E18),IF(OR($H18&gt;=1,AND($H18&gt;0,AN$4+3&lt;$E18+($G18-$E18+1)*$H18)),2,1),IF(AND(Suivi&gt;=AN$4,Suivi&lt;AN$4+7),3,0))</f>
        <v/>
      </c>
      <c r="AO18" s="40">
        <f>IF(AND(AO$4&lt;=$G18,AO$4+6&gt;=$E18),IF(OR($H18&gt;=1,AND($H18&gt;0,AO$4+3&lt;$E18+($G18-$E18+1)*$H18)),2,1),IF(AND(Suivi&gt;=AO$4,Suivi&lt;AO$4+7),3,0))</f>
        <v/>
      </c>
      <c r="AP18" s="40">
        <f>IF(AND(AP$4&lt;=$G18,AP$4+6&gt;=$E18),IF(OR($H18&gt;=1,AND($H18&gt;0,AP$4+3&lt;$E18+($G18-$E18+1)*$H18)),2,1),IF(AND(Suivi&gt;=AP$4,Suivi&lt;AP$4+7),3,0))</f>
        <v/>
      </c>
      <c r="AQ18" s="40">
        <f>IF(AND(AQ$4&lt;=$G18,AQ$4+6&gt;=$E18),IF(OR($H18&gt;=1,AND($H18&gt;0,AQ$4+3&lt;$E18+($G18-$E18+1)*$H18)),2,1),IF(AND(Suivi&gt;=AQ$4,Suivi&lt;AQ$4+7),3,0))</f>
        <v/>
      </c>
      <c r="AR18" s="40">
        <f>IF(AND(AR$4&lt;=$G18,AR$4+6&gt;=$E18),IF(OR($H18&gt;=1,AND($H18&gt;0,AR$4+3&lt;$E18+($G18-$E18+1)*$H18)),2,1),IF(AND(Suivi&gt;=AR$4,Suivi&lt;AR$4+7),3,0))</f>
        <v/>
      </c>
      <c r="AS18" s="40">
        <f>IF(AND(AS$4&lt;=$G18,AS$4+6&gt;=$E18),IF(OR($H18&gt;=1,AND($H18&gt;0,AS$4+3&lt;$E18+($G18-$E18+1)*$H18)),2,1),IF(AND(Suivi&gt;=AS$4,Suivi&lt;AS$4+7),3,0))</f>
        <v/>
      </c>
      <c r="AT18" s="40">
        <f>IF(AND(AT$4&lt;=$G18,AT$4+6&gt;=$E18),IF(OR($H18&gt;=1,AND($H18&gt;0,AT$4+3&lt;$E18+($G18-$E18+1)*$H18)),2,1),IF(AND(Suivi&gt;=AT$4,Suivi&lt;AT$4+7),3,0))</f>
        <v/>
      </c>
      <c r="AU18" s="40">
        <f>IF(AND(AU$4&lt;=$G18,AU$4+6&gt;=$E18),IF(OR($H18&gt;=1,AND($H18&gt;0,AU$4+3&lt;$E18+($G18-$E18+1)*$H18)),2,1),IF(AND(Suivi&gt;=AU$4,Suivi&lt;AU$4+7),3,0))</f>
        <v/>
      </c>
      <c r="AV18" s="40">
        <f>IF(AND(AV$4&lt;=$G18,AV$4+6&gt;=$E18),IF(OR($H18&gt;=1,AND($H18&gt;0,AV$4+3&lt;$E18+($G18-$E18+1)*$H18)),2,1),IF(AND(Suivi&gt;=AV$4,Suivi&lt;AV$4+7),3,0))</f>
        <v/>
      </c>
      <c r="AW18" s="40">
        <f>IF(AND(AW$4&lt;=$G18,AW$4+6&gt;=$E18),IF(OR($H18&gt;=1,AND($H18&gt;0,AW$4+3&lt;$E18+($G18-$E18+1)*$H18)),2,1),IF(AND(Suivi&gt;=AW$4,Suivi&lt;AW$4+7),3,0))</f>
        <v/>
      </c>
      <c r="AX18" s="40">
        <f>IF(AND(AX$4&lt;=$G18,AX$4+6&gt;=$E18),IF(OR($H18&gt;=1,AND($H18&gt;0,AX$4+3&lt;$E18+($G18-$E18+1)*$H18)),2,1),IF(AND(Suivi&gt;=AX$4,Suivi&lt;AX$4+7),3,0))</f>
        <v/>
      </c>
      <c r="AY18" s="40">
        <f>IF(AND(AY$4&lt;=$G18,AY$4+6&gt;=$E18),IF(OR($H18&gt;=1,AND($H18&gt;0,AY$4+3&lt;$E18+($G18-$E18+1)*$H18)),2,1),IF(AND(Suivi&gt;=AY$4,Suivi&lt;AY$4+7),3,0))</f>
        <v/>
      </c>
      <c r="AZ18" s="40">
        <f>IF(AND(AZ$4&lt;=$G18,AZ$4+6&gt;=$E18),IF(OR($H18&gt;=1,AND($H18&gt;0,AZ$4+3&lt;$E18+($G18-$E18+1)*$H18)),2,1),IF(AND(Suivi&gt;=AZ$4,Suivi&lt;AZ$4+7),3,0))</f>
        <v/>
      </c>
      <c r="BA18" s="40">
        <f>IF(AND(BA$4&lt;=$G18,BA$4+6&gt;=$E18),IF(OR($H18&gt;=1,AND($H18&gt;0,BA$4+3&lt;$E18+($G18-$E18+1)*$H18)),2,1),IF(AND(Suivi&gt;=BA$4,Suivi&lt;BA$4+7),3,0))</f>
        <v/>
      </c>
      <c r="BB18" s="40">
        <f>IF(AND(BB$4&lt;=$G18,BB$4+6&gt;=$E18),IF(OR($H18&gt;=1,AND($H18&gt;0,BB$4+3&lt;$E18+($G18-$E18+1)*$H18)),2,1),IF(AND(Suivi&gt;=BB$4,Suivi&lt;BB$4+7),3,0))</f>
        <v/>
      </c>
      <c r="BC18" s="40">
        <f>IF(AND(BC$4&lt;=$G18,BC$4+6&gt;=$E18),IF(OR($H18&gt;=1,AND($H18&gt;0,BC$4+3&lt;$E18+($G18-$E18+1)*$H18)),2,1),IF(AND(Suivi&gt;=BC$4,Suivi&lt;BC$4+7),3,0))</f>
        <v/>
      </c>
      <c r="BD18" s="40">
        <f>IF(AND(BD$4&lt;=$G18,BD$4+6&gt;=$E18),IF(OR($H18&gt;=1,AND($H18&gt;0,BD$4+3&lt;$E18+($G18-$E18+1)*$H18)),2,1),IF(AND(Suivi&gt;=BD$4,Suivi&lt;BD$4+7),3,0))</f>
        <v/>
      </c>
      <c r="BE18" s="40">
        <f>IF(AND(BE$4&lt;=$G18,BE$4+6&gt;=$E18),IF(OR($H18&gt;=1,AND($H18&gt;0,BE$4+3&lt;$E18+($G18-$E18+1)*$H18)),2,1),IF(AND(Suivi&gt;=BE$4,Suivi&lt;BE$4+7),3,0))</f>
        <v/>
      </c>
      <c r="BF18" s="40">
        <f>IF(AND(BF$4&lt;=$G18,BF$4+6&gt;=$E18),IF(OR($H18&gt;=1,AND($H18&gt;0,BF$4+3&lt;$E18+($G18-$E18+1)*$H18)),2,1),IF(AND(Suivi&gt;=BF$4,Suivi&lt;BF$4+7),3,0))</f>
        <v/>
      </c>
      <c r="BG18" s="40">
        <f>IF(AND(BG$4&lt;=$G18,BG$4+6&gt;=$E18),IF(OR($H18&gt;=1,AND($H18&gt;0,BG$4+3&lt;$E18+($G18-$E18+1)*$H18)),2,1),IF(AND(Suivi&gt;=BG$4,Suivi&lt;BG$4+7),3,0))</f>
        <v/>
      </c>
      <c r="BH18" s="40">
        <f>IF(AND(BH$4&lt;=$G18,BH$4+6&gt;=$E18),IF(OR($H18&gt;=1,AND($H18&gt;0,BH$4+3&lt;$E18+($G18-$E18+1)*$H18)),2,1),IF(AND(Suivi&gt;=BH$4,Suivi&lt;BH$4+7),3,0))</f>
        <v/>
      </c>
      <c r="BI18" s="40">
        <f>IF(AND(BI$4&lt;=$G18,BI$4+6&gt;=$E18),IF(OR($H18&gt;=1,AND($H18&gt;0,BI$4+3&lt;$E18+($G18-$E18+1)*$H18)),2,1),IF(AND(Suivi&gt;=BI$4,Suivi&lt;BI$4+7),3,0))</f>
        <v/>
      </c>
      <c r="BJ18" s="40">
        <f>IF(AND(BJ$4&lt;=$G18,BJ$4+6&gt;=$E18),IF(OR($H18&gt;=1,AND($H18&gt;0,BJ$4+3&lt;$E18+($G18-$E18+1)*$H18)),2,1),IF(AND(Suivi&gt;=BJ$4,Suivi&lt;BJ$4+7),3,0))</f>
        <v/>
      </c>
      <c r="BK18" s="40">
        <f>IF(AND(BK$4&lt;=$G18,BK$4+6&gt;=$E18),IF(OR($H18&gt;=1,AND($H18&gt;0,BK$4+3&lt;$E18+($G18-$E18+1)*$H18)),2,1),IF(AND(Suivi&gt;=BK$4,Suivi&lt;BK$4+7),3,0))</f>
        <v/>
      </c>
      <c r="BL18" s="40">
        <f>IF(AND(BL$4&lt;=$G18,BL$4+6&gt;=$E18),IF(OR($H18&gt;=1,AND($H18&gt;0,BL$4+3&lt;$E18+($G18-$E18+1)*$H18)),2,1),IF(AND(Suivi&gt;=BL$4,Suivi&lt;BL$4+7),3,0))</f>
        <v/>
      </c>
      <c r="BM18" s="40">
        <f>IF(AND(BM$4&lt;=$G18,BM$4+6&gt;=$E18),IF(OR($H18&gt;=1,AND($H18&gt;0,BM$4+3&lt;$E18+($G18-$E18+1)*$H18)),2,1),IF(AND(Suivi&gt;=BM$4,Suivi&lt;BM$4+7),3,0))</f>
        <v/>
      </c>
      <c r="BN18" s="40">
        <f>IF(AND(BN$4&lt;=$G18,BN$4+6&gt;=$E18),IF(OR($H18&gt;=1,AND($H18&gt;0,BN$4+3&lt;$E18+($G18-$E18+1)*$H18)),2,1),IF(AND(Suivi&gt;=BN$4,Suivi&lt;BN$4+7),3,0))</f>
        <v/>
      </c>
      <c r="BO18" s="40">
        <f>IF(AND(BO$4&lt;=$G18,BO$4+6&gt;=$E18),IF(OR($H18&gt;=1,AND($H18&gt;0,BO$4+3&lt;$E18+($G18-$E18+1)*$H18)),2,1),IF(AND(Suivi&gt;=BO$4,Suivi&lt;BO$4+7),3,0))</f>
        <v/>
      </c>
    </row>
    <row r="19" ht="20" customHeight="1">
      <c r="A19" s="36" t="n">
        <v>15</v>
      </c>
      <c r="B19" s="36" t="inlineStr">
        <is>
          <t>البلاط والسيراميك</t>
        </is>
      </c>
      <c r="C19" s="36" t="inlineStr">
        <is>
          <t>تشطيبات</t>
        </is>
      </c>
      <c r="D19" s="36" t="inlineStr">
        <is>
          <t>فريق التشطيب</t>
        </is>
      </c>
      <c r="E19" s="37" t="n">
        <v>46298</v>
      </c>
      <c r="F19" s="36" t="n">
        <v>36</v>
      </c>
      <c r="G19" s="37">
        <f>WORKDAY.INTL(E19,F19-1,Repos)</f>
        <v/>
      </c>
      <c r="H19" s="38" t="n">
        <v>0.35</v>
      </c>
      <c r="I19" s="36">
        <f>IF(H19&gt;=1,"مكتملة",IF(AND(Suivi&gt;G19,H19&lt;1),"متأخرة",IF(Suivi&lt;E19,"لم تبدأ",IF(H19+0.15&lt;(Suivi-E19)/MAX(1,G19-E19),"تحتاج متابعة","جارية"))))</f>
        <v/>
      </c>
      <c r="J19" s="39" t="n">
        <v>2100000</v>
      </c>
      <c r="L19" s="40">
        <f>IF(AND(L$4&lt;=$G19,L$4+6&gt;=$E19),IF(OR($H19&gt;=1,AND($H19&gt;0,L$4+3&lt;$E19+($G19-$E19+1)*$H19)),2,1),IF(AND(Suivi&gt;=L$4,Suivi&lt;L$4+7),3,0))</f>
        <v/>
      </c>
      <c r="M19" s="40">
        <f>IF(AND(M$4&lt;=$G19,M$4+6&gt;=$E19),IF(OR($H19&gt;=1,AND($H19&gt;0,M$4+3&lt;$E19+($G19-$E19+1)*$H19)),2,1),IF(AND(Suivi&gt;=M$4,Suivi&lt;M$4+7),3,0))</f>
        <v/>
      </c>
      <c r="N19" s="40">
        <f>IF(AND(N$4&lt;=$G19,N$4+6&gt;=$E19),IF(OR($H19&gt;=1,AND($H19&gt;0,N$4+3&lt;$E19+($G19-$E19+1)*$H19)),2,1),IF(AND(Suivi&gt;=N$4,Suivi&lt;N$4+7),3,0))</f>
        <v/>
      </c>
      <c r="O19" s="40">
        <f>IF(AND(O$4&lt;=$G19,O$4+6&gt;=$E19),IF(OR($H19&gt;=1,AND($H19&gt;0,O$4+3&lt;$E19+($G19-$E19+1)*$H19)),2,1),IF(AND(Suivi&gt;=O$4,Suivi&lt;O$4+7),3,0))</f>
        <v/>
      </c>
      <c r="P19" s="40">
        <f>IF(AND(P$4&lt;=$G19,P$4+6&gt;=$E19),IF(OR($H19&gt;=1,AND($H19&gt;0,P$4+3&lt;$E19+($G19-$E19+1)*$H19)),2,1),IF(AND(Suivi&gt;=P$4,Suivi&lt;P$4+7),3,0))</f>
        <v/>
      </c>
      <c r="Q19" s="40">
        <f>IF(AND(Q$4&lt;=$G19,Q$4+6&gt;=$E19),IF(OR($H19&gt;=1,AND($H19&gt;0,Q$4+3&lt;$E19+($G19-$E19+1)*$H19)),2,1),IF(AND(Suivi&gt;=Q$4,Suivi&lt;Q$4+7),3,0))</f>
        <v/>
      </c>
      <c r="R19" s="40">
        <f>IF(AND(R$4&lt;=$G19,R$4+6&gt;=$E19),IF(OR($H19&gt;=1,AND($H19&gt;0,R$4+3&lt;$E19+($G19-$E19+1)*$H19)),2,1),IF(AND(Suivi&gt;=R$4,Suivi&lt;R$4+7),3,0))</f>
        <v/>
      </c>
      <c r="S19" s="40">
        <f>IF(AND(S$4&lt;=$G19,S$4+6&gt;=$E19),IF(OR($H19&gt;=1,AND($H19&gt;0,S$4+3&lt;$E19+($G19-$E19+1)*$H19)),2,1),IF(AND(Suivi&gt;=S$4,Suivi&lt;S$4+7),3,0))</f>
        <v/>
      </c>
      <c r="T19" s="40">
        <f>IF(AND(T$4&lt;=$G19,T$4+6&gt;=$E19),IF(OR($H19&gt;=1,AND($H19&gt;0,T$4+3&lt;$E19+($G19-$E19+1)*$H19)),2,1),IF(AND(Suivi&gt;=T$4,Suivi&lt;T$4+7),3,0))</f>
        <v/>
      </c>
      <c r="U19" s="40">
        <f>IF(AND(U$4&lt;=$G19,U$4+6&gt;=$E19),IF(OR($H19&gt;=1,AND($H19&gt;0,U$4+3&lt;$E19+($G19-$E19+1)*$H19)),2,1),IF(AND(Suivi&gt;=U$4,Suivi&lt;U$4+7),3,0))</f>
        <v/>
      </c>
      <c r="V19" s="40">
        <f>IF(AND(V$4&lt;=$G19,V$4+6&gt;=$E19),IF(OR($H19&gt;=1,AND($H19&gt;0,V$4+3&lt;$E19+($G19-$E19+1)*$H19)),2,1),IF(AND(Suivi&gt;=V$4,Suivi&lt;V$4+7),3,0))</f>
        <v/>
      </c>
      <c r="W19" s="40">
        <f>IF(AND(W$4&lt;=$G19,W$4+6&gt;=$E19),IF(OR($H19&gt;=1,AND($H19&gt;0,W$4+3&lt;$E19+($G19-$E19+1)*$H19)),2,1),IF(AND(Suivi&gt;=W$4,Suivi&lt;W$4+7),3,0))</f>
        <v/>
      </c>
      <c r="X19" s="40">
        <f>IF(AND(X$4&lt;=$G19,X$4+6&gt;=$E19),IF(OR($H19&gt;=1,AND($H19&gt;0,X$4+3&lt;$E19+($G19-$E19+1)*$H19)),2,1),IF(AND(Suivi&gt;=X$4,Suivi&lt;X$4+7),3,0))</f>
        <v/>
      </c>
      <c r="Y19" s="40">
        <f>IF(AND(Y$4&lt;=$G19,Y$4+6&gt;=$E19),IF(OR($H19&gt;=1,AND($H19&gt;0,Y$4+3&lt;$E19+($G19-$E19+1)*$H19)),2,1),IF(AND(Suivi&gt;=Y$4,Suivi&lt;Y$4+7),3,0))</f>
        <v/>
      </c>
      <c r="Z19" s="40">
        <f>IF(AND(Z$4&lt;=$G19,Z$4+6&gt;=$E19),IF(OR($H19&gt;=1,AND($H19&gt;0,Z$4+3&lt;$E19+($G19-$E19+1)*$H19)),2,1),IF(AND(Suivi&gt;=Z$4,Suivi&lt;Z$4+7),3,0))</f>
        <v/>
      </c>
      <c r="AA19" s="40">
        <f>IF(AND(AA$4&lt;=$G19,AA$4+6&gt;=$E19),IF(OR($H19&gt;=1,AND($H19&gt;0,AA$4+3&lt;$E19+($G19-$E19+1)*$H19)),2,1),IF(AND(Suivi&gt;=AA$4,Suivi&lt;AA$4+7),3,0))</f>
        <v/>
      </c>
      <c r="AB19" s="40">
        <f>IF(AND(AB$4&lt;=$G19,AB$4+6&gt;=$E19),IF(OR($H19&gt;=1,AND($H19&gt;0,AB$4+3&lt;$E19+($G19-$E19+1)*$H19)),2,1),IF(AND(Suivi&gt;=AB$4,Suivi&lt;AB$4+7),3,0))</f>
        <v/>
      </c>
      <c r="AC19" s="40">
        <f>IF(AND(AC$4&lt;=$G19,AC$4+6&gt;=$E19),IF(OR($H19&gt;=1,AND($H19&gt;0,AC$4+3&lt;$E19+($G19-$E19+1)*$H19)),2,1),IF(AND(Suivi&gt;=AC$4,Suivi&lt;AC$4+7),3,0))</f>
        <v/>
      </c>
      <c r="AD19" s="40">
        <f>IF(AND(AD$4&lt;=$G19,AD$4+6&gt;=$E19),IF(OR($H19&gt;=1,AND($H19&gt;0,AD$4+3&lt;$E19+($G19-$E19+1)*$H19)),2,1),IF(AND(Suivi&gt;=AD$4,Suivi&lt;AD$4+7),3,0))</f>
        <v/>
      </c>
      <c r="AE19" s="40">
        <f>IF(AND(AE$4&lt;=$G19,AE$4+6&gt;=$E19),IF(OR($H19&gt;=1,AND($H19&gt;0,AE$4+3&lt;$E19+($G19-$E19+1)*$H19)),2,1),IF(AND(Suivi&gt;=AE$4,Suivi&lt;AE$4+7),3,0))</f>
        <v/>
      </c>
      <c r="AF19" s="40">
        <f>IF(AND(AF$4&lt;=$G19,AF$4+6&gt;=$E19),IF(OR($H19&gt;=1,AND($H19&gt;0,AF$4+3&lt;$E19+($G19-$E19+1)*$H19)),2,1),IF(AND(Suivi&gt;=AF$4,Suivi&lt;AF$4+7),3,0))</f>
        <v/>
      </c>
      <c r="AG19" s="40">
        <f>IF(AND(AG$4&lt;=$G19,AG$4+6&gt;=$E19),IF(OR($H19&gt;=1,AND($H19&gt;0,AG$4+3&lt;$E19+($G19-$E19+1)*$H19)),2,1),IF(AND(Suivi&gt;=AG$4,Suivi&lt;AG$4+7),3,0))</f>
        <v/>
      </c>
      <c r="AH19" s="40">
        <f>IF(AND(AH$4&lt;=$G19,AH$4+6&gt;=$E19),IF(OR($H19&gt;=1,AND($H19&gt;0,AH$4+3&lt;$E19+($G19-$E19+1)*$H19)),2,1),IF(AND(Suivi&gt;=AH$4,Suivi&lt;AH$4+7),3,0))</f>
        <v/>
      </c>
      <c r="AI19" s="40">
        <f>IF(AND(AI$4&lt;=$G19,AI$4+6&gt;=$E19),IF(OR($H19&gt;=1,AND($H19&gt;0,AI$4+3&lt;$E19+($G19-$E19+1)*$H19)),2,1),IF(AND(Suivi&gt;=AI$4,Suivi&lt;AI$4+7),3,0))</f>
        <v/>
      </c>
      <c r="AJ19" s="40">
        <f>IF(AND(AJ$4&lt;=$G19,AJ$4+6&gt;=$E19),IF(OR($H19&gt;=1,AND($H19&gt;0,AJ$4+3&lt;$E19+($G19-$E19+1)*$H19)),2,1),IF(AND(Suivi&gt;=AJ$4,Suivi&lt;AJ$4+7),3,0))</f>
        <v/>
      </c>
      <c r="AK19" s="40">
        <f>IF(AND(AK$4&lt;=$G19,AK$4+6&gt;=$E19),IF(OR($H19&gt;=1,AND($H19&gt;0,AK$4+3&lt;$E19+($G19-$E19+1)*$H19)),2,1),IF(AND(Suivi&gt;=AK$4,Suivi&lt;AK$4+7),3,0))</f>
        <v/>
      </c>
      <c r="AL19" s="40">
        <f>IF(AND(AL$4&lt;=$G19,AL$4+6&gt;=$E19),IF(OR($H19&gt;=1,AND($H19&gt;0,AL$4+3&lt;$E19+($G19-$E19+1)*$H19)),2,1),IF(AND(Suivi&gt;=AL$4,Suivi&lt;AL$4+7),3,0))</f>
        <v/>
      </c>
      <c r="AM19" s="40">
        <f>IF(AND(AM$4&lt;=$G19,AM$4+6&gt;=$E19),IF(OR($H19&gt;=1,AND($H19&gt;0,AM$4+3&lt;$E19+($G19-$E19+1)*$H19)),2,1),IF(AND(Suivi&gt;=AM$4,Suivi&lt;AM$4+7),3,0))</f>
        <v/>
      </c>
      <c r="AN19" s="40">
        <f>IF(AND(AN$4&lt;=$G19,AN$4+6&gt;=$E19),IF(OR($H19&gt;=1,AND($H19&gt;0,AN$4+3&lt;$E19+($G19-$E19+1)*$H19)),2,1),IF(AND(Suivi&gt;=AN$4,Suivi&lt;AN$4+7),3,0))</f>
        <v/>
      </c>
      <c r="AO19" s="40">
        <f>IF(AND(AO$4&lt;=$G19,AO$4+6&gt;=$E19),IF(OR($H19&gt;=1,AND($H19&gt;0,AO$4+3&lt;$E19+($G19-$E19+1)*$H19)),2,1),IF(AND(Suivi&gt;=AO$4,Suivi&lt;AO$4+7),3,0))</f>
        <v/>
      </c>
      <c r="AP19" s="40">
        <f>IF(AND(AP$4&lt;=$G19,AP$4+6&gt;=$E19),IF(OR($H19&gt;=1,AND($H19&gt;0,AP$4+3&lt;$E19+($G19-$E19+1)*$H19)),2,1),IF(AND(Suivi&gt;=AP$4,Suivi&lt;AP$4+7),3,0))</f>
        <v/>
      </c>
      <c r="AQ19" s="40">
        <f>IF(AND(AQ$4&lt;=$G19,AQ$4+6&gt;=$E19),IF(OR($H19&gt;=1,AND($H19&gt;0,AQ$4+3&lt;$E19+($G19-$E19+1)*$H19)),2,1),IF(AND(Suivi&gt;=AQ$4,Suivi&lt;AQ$4+7),3,0))</f>
        <v/>
      </c>
      <c r="AR19" s="40">
        <f>IF(AND(AR$4&lt;=$G19,AR$4+6&gt;=$E19),IF(OR($H19&gt;=1,AND($H19&gt;0,AR$4+3&lt;$E19+($G19-$E19+1)*$H19)),2,1),IF(AND(Suivi&gt;=AR$4,Suivi&lt;AR$4+7),3,0))</f>
        <v/>
      </c>
      <c r="AS19" s="40">
        <f>IF(AND(AS$4&lt;=$G19,AS$4+6&gt;=$E19),IF(OR($H19&gt;=1,AND($H19&gt;0,AS$4+3&lt;$E19+($G19-$E19+1)*$H19)),2,1),IF(AND(Suivi&gt;=AS$4,Suivi&lt;AS$4+7),3,0))</f>
        <v/>
      </c>
      <c r="AT19" s="40">
        <f>IF(AND(AT$4&lt;=$G19,AT$4+6&gt;=$E19),IF(OR($H19&gt;=1,AND($H19&gt;0,AT$4+3&lt;$E19+($G19-$E19+1)*$H19)),2,1),IF(AND(Suivi&gt;=AT$4,Suivi&lt;AT$4+7),3,0))</f>
        <v/>
      </c>
      <c r="AU19" s="40">
        <f>IF(AND(AU$4&lt;=$G19,AU$4+6&gt;=$E19),IF(OR($H19&gt;=1,AND($H19&gt;0,AU$4+3&lt;$E19+($G19-$E19+1)*$H19)),2,1),IF(AND(Suivi&gt;=AU$4,Suivi&lt;AU$4+7),3,0))</f>
        <v/>
      </c>
      <c r="AV19" s="40">
        <f>IF(AND(AV$4&lt;=$G19,AV$4+6&gt;=$E19),IF(OR($H19&gt;=1,AND($H19&gt;0,AV$4+3&lt;$E19+($G19-$E19+1)*$H19)),2,1),IF(AND(Suivi&gt;=AV$4,Suivi&lt;AV$4+7),3,0))</f>
        <v/>
      </c>
      <c r="AW19" s="40">
        <f>IF(AND(AW$4&lt;=$G19,AW$4+6&gt;=$E19),IF(OR($H19&gt;=1,AND($H19&gt;0,AW$4+3&lt;$E19+($G19-$E19+1)*$H19)),2,1),IF(AND(Suivi&gt;=AW$4,Suivi&lt;AW$4+7),3,0))</f>
        <v/>
      </c>
      <c r="AX19" s="40">
        <f>IF(AND(AX$4&lt;=$G19,AX$4+6&gt;=$E19),IF(OR($H19&gt;=1,AND($H19&gt;0,AX$4+3&lt;$E19+($G19-$E19+1)*$H19)),2,1),IF(AND(Suivi&gt;=AX$4,Suivi&lt;AX$4+7),3,0))</f>
        <v/>
      </c>
      <c r="AY19" s="40">
        <f>IF(AND(AY$4&lt;=$G19,AY$4+6&gt;=$E19),IF(OR($H19&gt;=1,AND($H19&gt;0,AY$4+3&lt;$E19+($G19-$E19+1)*$H19)),2,1),IF(AND(Suivi&gt;=AY$4,Suivi&lt;AY$4+7),3,0))</f>
        <v/>
      </c>
      <c r="AZ19" s="40">
        <f>IF(AND(AZ$4&lt;=$G19,AZ$4+6&gt;=$E19),IF(OR($H19&gt;=1,AND($H19&gt;0,AZ$4+3&lt;$E19+($G19-$E19+1)*$H19)),2,1),IF(AND(Suivi&gt;=AZ$4,Suivi&lt;AZ$4+7),3,0))</f>
        <v/>
      </c>
      <c r="BA19" s="40">
        <f>IF(AND(BA$4&lt;=$G19,BA$4+6&gt;=$E19),IF(OR($H19&gt;=1,AND($H19&gt;0,BA$4+3&lt;$E19+($G19-$E19+1)*$H19)),2,1),IF(AND(Suivi&gt;=BA$4,Suivi&lt;BA$4+7),3,0))</f>
        <v/>
      </c>
      <c r="BB19" s="40">
        <f>IF(AND(BB$4&lt;=$G19,BB$4+6&gt;=$E19),IF(OR($H19&gt;=1,AND($H19&gt;0,BB$4+3&lt;$E19+($G19-$E19+1)*$H19)),2,1),IF(AND(Suivi&gt;=BB$4,Suivi&lt;BB$4+7),3,0))</f>
        <v/>
      </c>
      <c r="BC19" s="40">
        <f>IF(AND(BC$4&lt;=$G19,BC$4+6&gt;=$E19),IF(OR($H19&gt;=1,AND($H19&gt;0,BC$4+3&lt;$E19+($G19-$E19+1)*$H19)),2,1),IF(AND(Suivi&gt;=BC$4,Suivi&lt;BC$4+7),3,0))</f>
        <v/>
      </c>
      <c r="BD19" s="40">
        <f>IF(AND(BD$4&lt;=$G19,BD$4+6&gt;=$E19),IF(OR($H19&gt;=1,AND($H19&gt;0,BD$4+3&lt;$E19+($G19-$E19+1)*$H19)),2,1),IF(AND(Suivi&gt;=BD$4,Suivi&lt;BD$4+7),3,0))</f>
        <v/>
      </c>
      <c r="BE19" s="40">
        <f>IF(AND(BE$4&lt;=$G19,BE$4+6&gt;=$E19),IF(OR($H19&gt;=1,AND($H19&gt;0,BE$4+3&lt;$E19+($G19-$E19+1)*$H19)),2,1),IF(AND(Suivi&gt;=BE$4,Suivi&lt;BE$4+7),3,0))</f>
        <v/>
      </c>
      <c r="BF19" s="40">
        <f>IF(AND(BF$4&lt;=$G19,BF$4+6&gt;=$E19),IF(OR($H19&gt;=1,AND($H19&gt;0,BF$4+3&lt;$E19+($G19-$E19+1)*$H19)),2,1),IF(AND(Suivi&gt;=BF$4,Suivi&lt;BF$4+7),3,0))</f>
        <v/>
      </c>
      <c r="BG19" s="40">
        <f>IF(AND(BG$4&lt;=$G19,BG$4+6&gt;=$E19),IF(OR($H19&gt;=1,AND($H19&gt;0,BG$4+3&lt;$E19+($G19-$E19+1)*$H19)),2,1),IF(AND(Suivi&gt;=BG$4,Suivi&lt;BG$4+7),3,0))</f>
        <v/>
      </c>
      <c r="BH19" s="40">
        <f>IF(AND(BH$4&lt;=$G19,BH$4+6&gt;=$E19),IF(OR($H19&gt;=1,AND($H19&gt;0,BH$4+3&lt;$E19+($G19-$E19+1)*$H19)),2,1),IF(AND(Suivi&gt;=BH$4,Suivi&lt;BH$4+7),3,0))</f>
        <v/>
      </c>
      <c r="BI19" s="40">
        <f>IF(AND(BI$4&lt;=$G19,BI$4+6&gt;=$E19),IF(OR($H19&gt;=1,AND($H19&gt;0,BI$4+3&lt;$E19+($G19-$E19+1)*$H19)),2,1),IF(AND(Suivi&gt;=BI$4,Suivi&lt;BI$4+7),3,0))</f>
        <v/>
      </c>
      <c r="BJ19" s="40">
        <f>IF(AND(BJ$4&lt;=$G19,BJ$4+6&gt;=$E19),IF(OR($H19&gt;=1,AND($H19&gt;0,BJ$4+3&lt;$E19+($G19-$E19+1)*$H19)),2,1),IF(AND(Suivi&gt;=BJ$4,Suivi&lt;BJ$4+7),3,0))</f>
        <v/>
      </c>
      <c r="BK19" s="40">
        <f>IF(AND(BK$4&lt;=$G19,BK$4+6&gt;=$E19),IF(OR($H19&gt;=1,AND($H19&gt;0,BK$4+3&lt;$E19+($G19-$E19+1)*$H19)),2,1),IF(AND(Suivi&gt;=BK$4,Suivi&lt;BK$4+7),3,0))</f>
        <v/>
      </c>
      <c r="BL19" s="40">
        <f>IF(AND(BL$4&lt;=$G19,BL$4+6&gt;=$E19),IF(OR($H19&gt;=1,AND($H19&gt;0,BL$4+3&lt;$E19+($G19-$E19+1)*$H19)),2,1),IF(AND(Suivi&gt;=BL$4,Suivi&lt;BL$4+7),3,0))</f>
        <v/>
      </c>
      <c r="BM19" s="40">
        <f>IF(AND(BM$4&lt;=$G19,BM$4+6&gt;=$E19),IF(OR($H19&gt;=1,AND($H19&gt;0,BM$4+3&lt;$E19+($G19-$E19+1)*$H19)),2,1),IF(AND(Suivi&gt;=BM$4,Suivi&lt;BM$4+7),3,0))</f>
        <v/>
      </c>
      <c r="BN19" s="40">
        <f>IF(AND(BN$4&lt;=$G19,BN$4+6&gt;=$E19),IF(OR($H19&gt;=1,AND($H19&gt;0,BN$4+3&lt;$E19+($G19-$E19+1)*$H19)),2,1),IF(AND(Suivi&gt;=BN$4,Suivi&lt;BN$4+7),3,0))</f>
        <v/>
      </c>
      <c r="BO19" s="40">
        <f>IF(AND(BO$4&lt;=$G19,BO$4+6&gt;=$E19),IF(OR($H19&gt;=1,AND($H19&gt;0,BO$4+3&lt;$E19+($G19-$E19+1)*$H19)),2,1),IF(AND(Suivi&gt;=BO$4,Suivi&lt;BO$4+7),3,0))</f>
        <v/>
      </c>
    </row>
    <row r="20" ht="20" customHeight="1">
      <c r="A20" s="36" t="n">
        <v>16</v>
      </c>
      <c r="B20" s="36" t="inlineStr">
        <is>
          <t>الأبواب الداخلية الخشبية</t>
        </is>
      </c>
      <c r="C20" s="36" t="inlineStr">
        <is>
          <t>نجارة وألمنيوم</t>
        </is>
      </c>
      <c r="D20" s="36" t="inlineStr">
        <is>
          <t>ورشة النجارة</t>
        </is>
      </c>
      <c r="E20" s="37" t="n">
        <v>46340</v>
      </c>
      <c r="F20" s="36" t="n">
        <v>12</v>
      </c>
      <c r="G20" s="37">
        <f>WORKDAY.INTL(E20,F20-1,Repos)</f>
        <v/>
      </c>
      <c r="H20" s="38" t="n">
        <v>0</v>
      </c>
      <c r="I20" s="36">
        <f>IF(H20&gt;=1,"مكتملة",IF(AND(Suivi&gt;G20,H20&lt;1),"متأخرة",IF(Suivi&lt;E20,"لم تبدأ",IF(H20+0.15&lt;(Suivi-E20)/MAX(1,G20-E20),"تحتاج متابعة","جارية"))))</f>
        <v/>
      </c>
      <c r="J20" s="39" t="n">
        <v>900000</v>
      </c>
      <c r="L20" s="40">
        <f>IF(AND(L$4&lt;=$G20,L$4+6&gt;=$E20),IF(OR($H20&gt;=1,AND($H20&gt;0,L$4+3&lt;$E20+($G20-$E20+1)*$H20)),2,1),IF(AND(Suivi&gt;=L$4,Suivi&lt;L$4+7),3,0))</f>
        <v/>
      </c>
      <c r="M20" s="40">
        <f>IF(AND(M$4&lt;=$G20,M$4+6&gt;=$E20),IF(OR($H20&gt;=1,AND($H20&gt;0,M$4+3&lt;$E20+($G20-$E20+1)*$H20)),2,1),IF(AND(Suivi&gt;=M$4,Suivi&lt;M$4+7),3,0))</f>
        <v/>
      </c>
      <c r="N20" s="40">
        <f>IF(AND(N$4&lt;=$G20,N$4+6&gt;=$E20),IF(OR($H20&gt;=1,AND($H20&gt;0,N$4+3&lt;$E20+($G20-$E20+1)*$H20)),2,1),IF(AND(Suivi&gt;=N$4,Suivi&lt;N$4+7),3,0))</f>
        <v/>
      </c>
      <c r="O20" s="40">
        <f>IF(AND(O$4&lt;=$G20,O$4+6&gt;=$E20),IF(OR($H20&gt;=1,AND($H20&gt;0,O$4+3&lt;$E20+($G20-$E20+1)*$H20)),2,1),IF(AND(Suivi&gt;=O$4,Suivi&lt;O$4+7),3,0))</f>
        <v/>
      </c>
      <c r="P20" s="40">
        <f>IF(AND(P$4&lt;=$G20,P$4+6&gt;=$E20),IF(OR($H20&gt;=1,AND($H20&gt;0,P$4+3&lt;$E20+($G20-$E20+1)*$H20)),2,1),IF(AND(Suivi&gt;=P$4,Suivi&lt;P$4+7),3,0))</f>
        <v/>
      </c>
      <c r="Q20" s="40">
        <f>IF(AND(Q$4&lt;=$G20,Q$4+6&gt;=$E20),IF(OR($H20&gt;=1,AND($H20&gt;0,Q$4+3&lt;$E20+($G20-$E20+1)*$H20)),2,1),IF(AND(Suivi&gt;=Q$4,Suivi&lt;Q$4+7),3,0))</f>
        <v/>
      </c>
      <c r="R20" s="40">
        <f>IF(AND(R$4&lt;=$G20,R$4+6&gt;=$E20),IF(OR($H20&gt;=1,AND($H20&gt;0,R$4+3&lt;$E20+($G20-$E20+1)*$H20)),2,1),IF(AND(Suivi&gt;=R$4,Suivi&lt;R$4+7),3,0))</f>
        <v/>
      </c>
      <c r="S20" s="40">
        <f>IF(AND(S$4&lt;=$G20,S$4+6&gt;=$E20),IF(OR($H20&gt;=1,AND($H20&gt;0,S$4+3&lt;$E20+($G20-$E20+1)*$H20)),2,1),IF(AND(Suivi&gt;=S$4,Suivi&lt;S$4+7),3,0))</f>
        <v/>
      </c>
      <c r="T20" s="40">
        <f>IF(AND(T$4&lt;=$G20,T$4+6&gt;=$E20),IF(OR($H20&gt;=1,AND($H20&gt;0,T$4+3&lt;$E20+($G20-$E20+1)*$H20)),2,1),IF(AND(Suivi&gt;=T$4,Suivi&lt;T$4+7),3,0))</f>
        <v/>
      </c>
      <c r="U20" s="40">
        <f>IF(AND(U$4&lt;=$G20,U$4+6&gt;=$E20),IF(OR($H20&gt;=1,AND($H20&gt;0,U$4+3&lt;$E20+($G20-$E20+1)*$H20)),2,1),IF(AND(Suivi&gt;=U$4,Suivi&lt;U$4+7),3,0))</f>
        <v/>
      </c>
      <c r="V20" s="40">
        <f>IF(AND(V$4&lt;=$G20,V$4+6&gt;=$E20),IF(OR($H20&gt;=1,AND($H20&gt;0,V$4+3&lt;$E20+($G20-$E20+1)*$H20)),2,1),IF(AND(Suivi&gt;=V$4,Suivi&lt;V$4+7),3,0))</f>
        <v/>
      </c>
      <c r="W20" s="40">
        <f>IF(AND(W$4&lt;=$G20,W$4+6&gt;=$E20),IF(OR($H20&gt;=1,AND($H20&gt;0,W$4+3&lt;$E20+($G20-$E20+1)*$H20)),2,1),IF(AND(Suivi&gt;=W$4,Suivi&lt;W$4+7),3,0))</f>
        <v/>
      </c>
      <c r="X20" s="40">
        <f>IF(AND(X$4&lt;=$G20,X$4+6&gt;=$E20),IF(OR($H20&gt;=1,AND($H20&gt;0,X$4+3&lt;$E20+($G20-$E20+1)*$H20)),2,1),IF(AND(Suivi&gt;=X$4,Suivi&lt;X$4+7),3,0))</f>
        <v/>
      </c>
      <c r="Y20" s="40">
        <f>IF(AND(Y$4&lt;=$G20,Y$4+6&gt;=$E20),IF(OR($H20&gt;=1,AND($H20&gt;0,Y$4+3&lt;$E20+($G20-$E20+1)*$H20)),2,1),IF(AND(Suivi&gt;=Y$4,Suivi&lt;Y$4+7),3,0))</f>
        <v/>
      </c>
      <c r="Z20" s="40">
        <f>IF(AND(Z$4&lt;=$G20,Z$4+6&gt;=$E20),IF(OR($H20&gt;=1,AND($H20&gt;0,Z$4+3&lt;$E20+($G20-$E20+1)*$H20)),2,1),IF(AND(Suivi&gt;=Z$4,Suivi&lt;Z$4+7),3,0))</f>
        <v/>
      </c>
      <c r="AA20" s="40">
        <f>IF(AND(AA$4&lt;=$G20,AA$4+6&gt;=$E20),IF(OR($H20&gt;=1,AND($H20&gt;0,AA$4+3&lt;$E20+($G20-$E20+1)*$H20)),2,1),IF(AND(Suivi&gt;=AA$4,Suivi&lt;AA$4+7),3,0))</f>
        <v/>
      </c>
      <c r="AB20" s="40">
        <f>IF(AND(AB$4&lt;=$G20,AB$4+6&gt;=$E20),IF(OR($H20&gt;=1,AND($H20&gt;0,AB$4+3&lt;$E20+($G20-$E20+1)*$H20)),2,1),IF(AND(Suivi&gt;=AB$4,Suivi&lt;AB$4+7),3,0))</f>
        <v/>
      </c>
      <c r="AC20" s="40">
        <f>IF(AND(AC$4&lt;=$G20,AC$4+6&gt;=$E20),IF(OR($H20&gt;=1,AND($H20&gt;0,AC$4+3&lt;$E20+($G20-$E20+1)*$H20)),2,1),IF(AND(Suivi&gt;=AC$4,Suivi&lt;AC$4+7),3,0))</f>
        <v/>
      </c>
      <c r="AD20" s="40">
        <f>IF(AND(AD$4&lt;=$G20,AD$4+6&gt;=$E20),IF(OR($H20&gt;=1,AND($H20&gt;0,AD$4+3&lt;$E20+($G20-$E20+1)*$H20)),2,1),IF(AND(Suivi&gt;=AD$4,Suivi&lt;AD$4+7),3,0))</f>
        <v/>
      </c>
      <c r="AE20" s="40">
        <f>IF(AND(AE$4&lt;=$G20,AE$4+6&gt;=$E20),IF(OR($H20&gt;=1,AND($H20&gt;0,AE$4+3&lt;$E20+($G20-$E20+1)*$H20)),2,1),IF(AND(Suivi&gt;=AE$4,Suivi&lt;AE$4+7),3,0))</f>
        <v/>
      </c>
      <c r="AF20" s="40">
        <f>IF(AND(AF$4&lt;=$G20,AF$4+6&gt;=$E20),IF(OR($H20&gt;=1,AND($H20&gt;0,AF$4+3&lt;$E20+($G20-$E20+1)*$H20)),2,1),IF(AND(Suivi&gt;=AF$4,Suivi&lt;AF$4+7),3,0))</f>
        <v/>
      </c>
      <c r="AG20" s="40">
        <f>IF(AND(AG$4&lt;=$G20,AG$4+6&gt;=$E20),IF(OR($H20&gt;=1,AND($H20&gt;0,AG$4+3&lt;$E20+($G20-$E20+1)*$H20)),2,1),IF(AND(Suivi&gt;=AG$4,Suivi&lt;AG$4+7),3,0))</f>
        <v/>
      </c>
      <c r="AH20" s="40">
        <f>IF(AND(AH$4&lt;=$G20,AH$4+6&gt;=$E20),IF(OR($H20&gt;=1,AND($H20&gt;0,AH$4+3&lt;$E20+($G20-$E20+1)*$H20)),2,1),IF(AND(Suivi&gt;=AH$4,Suivi&lt;AH$4+7),3,0))</f>
        <v/>
      </c>
      <c r="AI20" s="40">
        <f>IF(AND(AI$4&lt;=$G20,AI$4+6&gt;=$E20),IF(OR($H20&gt;=1,AND($H20&gt;0,AI$4+3&lt;$E20+($G20-$E20+1)*$H20)),2,1),IF(AND(Suivi&gt;=AI$4,Suivi&lt;AI$4+7),3,0))</f>
        <v/>
      </c>
      <c r="AJ20" s="40">
        <f>IF(AND(AJ$4&lt;=$G20,AJ$4+6&gt;=$E20),IF(OR($H20&gt;=1,AND($H20&gt;0,AJ$4+3&lt;$E20+($G20-$E20+1)*$H20)),2,1),IF(AND(Suivi&gt;=AJ$4,Suivi&lt;AJ$4+7),3,0))</f>
        <v/>
      </c>
      <c r="AK20" s="40">
        <f>IF(AND(AK$4&lt;=$G20,AK$4+6&gt;=$E20),IF(OR($H20&gt;=1,AND($H20&gt;0,AK$4+3&lt;$E20+($G20-$E20+1)*$H20)),2,1),IF(AND(Suivi&gt;=AK$4,Suivi&lt;AK$4+7),3,0))</f>
        <v/>
      </c>
      <c r="AL20" s="40">
        <f>IF(AND(AL$4&lt;=$G20,AL$4+6&gt;=$E20),IF(OR($H20&gt;=1,AND($H20&gt;0,AL$4+3&lt;$E20+($G20-$E20+1)*$H20)),2,1),IF(AND(Suivi&gt;=AL$4,Suivi&lt;AL$4+7),3,0))</f>
        <v/>
      </c>
      <c r="AM20" s="40">
        <f>IF(AND(AM$4&lt;=$G20,AM$4+6&gt;=$E20),IF(OR($H20&gt;=1,AND($H20&gt;0,AM$4+3&lt;$E20+($G20-$E20+1)*$H20)),2,1),IF(AND(Suivi&gt;=AM$4,Suivi&lt;AM$4+7),3,0))</f>
        <v/>
      </c>
      <c r="AN20" s="40">
        <f>IF(AND(AN$4&lt;=$G20,AN$4+6&gt;=$E20),IF(OR($H20&gt;=1,AND($H20&gt;0,AN$4+3&lt;$E20+($G20-$E20+1)*$H20)),2,1),IF(AND(Suivi&gt;=AN$4,Suivi&lt;AN$4+7),3,0))</f>
        <v/>
      </c>
      <c r="AO20" s="40">
        <f>IF(AND(AO$4&lt;=$G20,AO$4+6&gt;=$E20),IF(OR($H20&gt;=1,AND($H20&gt;0,AO$4+3&lt;$E20+($G20-$E20+1)*$H20)),2,1),IF(AND(Suivi&gt;=AO$4,Suivi&lt;AO$4+7),3,0))</f>
        <v/>
      </c>
      <c r="AP20" s="40">
        <f>IF(AND(AP$4&lt;=$G20,AP$4+6&gt;=$E20),IF(OR($H20&gt;=1,AND($H20&gt;0,AP$4+3&lt;$E20+($G20-$E20+1)*$H20)),2,1),IF(AND(Suivi&gt;=AP$4,Suivi&lt;AP$4+7),3,0))</f>
        <v/>
      </c>
      <c r="AQ20" s="40">
        <f>IF(AND(AQ$4&lt;=$G20,AQ$4+6&gt;=$E20),IF(OR($H20&gt;=1,AND($H20&gt;0,AQ$4+3&lt;$E20+($G20-$E20+1)*$H20)),2,1),IF(AND(Suivi&gt;=AQ$4,Suivi&lt;AQ$4+7),3,0))</f>
        <v/>
      </c>
      <c r="AR20" s="40">
        <f>IF(AND(AR$4&lt;=$G20,AR$4+6&gt;=$E20),IF(OR($H20&gt;=1,AND($H20&gt;0,AR$4+3&lt;$E20+($G20-$E20+1)*$H20)),2,1),IF(AND(Suivi&gt;=AR$4,Suivi&lt;AR$4+7),3,0))</f>
        <v/>
      </c>
      <c r="AS20" s="40">
        <f>IF(AND(AS$4&lt;=$G20,AS$4+6&gt;=$E20),IF(OR($H20&gt;=1,AND($H20&gt;0,AS$4+3&lt;$E20+($G20-$E20+1)*$H20)),2,1),IF(AND(Suivi&gt;=AS$4,Suivi&lt;AS$4+7),3,0))</f>
        <v/>
      </c>
      <c r="AT20" s="40">
        <f>IF(AND(AT$4&lt;=$G20,AT$4+6&gt;=$E20),IF(OR($H20&gt;=1,AND($H20&gt;0,AT$4+3&lt;$E20+($G20-$E20+1)*$H20)),2,1),IF(AND(Suivi&gt;=AT$4,Suivi&lt;AT$4+7),3,0))</f>
        <v/>
      </c>
      <c r="AU20" s="40">
        <f>IF(AND(AU$4&lt;=$G20,AU$4+6&gt;=$E20),IF(OR($H20&gt;=1,AND($H20&gt;0,AU$4+3&lt;$E20+($G20-$E20+1)*$H20)),2,1),IF(AND(Suivi&gt;=AU$4,Suivi&lt;AU$4+7),3,0))</f>
        <v/>
      </c>
      <c r="AV20" s="40">
        <f>IF(AND(AV$4&lt;=$G20,AV$4+6&gt;=$E20),IF(OR($H20&gt;=1,AND($H20&gt;0,AV$4+3&lt;$E20+($G20-$E20+1)*$H20)),2,1),IF(AND(Suivi&gt;=AV$4,Suivi&lt;AV$4+7),3,0))</f>
        <v/>
      </c>
      <c r="AW20" s="40">
        <f>IF(AND(AW$4&lt;=$G20,AW$4+6&gt;=$E20),IF(OR($H20&gt;=1,AND($H20&gt;0,AW$4+3&lt;$E20+($G20-$E20+1)*$H20)),2,1),IF(AND(Suivi&gt;=AW$4,Suivi&lt;AW$4+7),3,0))</f>
        <v/>
      </c>
      <c r="AX20" s="40">
        <f>IF(AND(AX$4&lt;=$G20,AX$4+6&gt;=$E20),IF(OR($H20&gt;=1,AND($H20&gt;0,AX$4+3&lt;$E20+($G20-$E20+1)*$H20)),2,1),IF(AND(Suivi&gt;=AX$4,Suivi&lt;AX$4+7),3,0))</f>
        <v/>
      </c>
      <c r="AY20" s="40">
        <f>IF(AND(AY$4&lt;=$G20,AY$4+6&gt;=$E20),IF(OR($H20&gt;=1,AND($H20&gt;0,AY$4+3&lt;$E20+($G20-$E20+1)*$H20)),2,1),IF(AND(Suivi&gt;=AY$4,Suivi&lt;AY$4+7),3,0))</f>
        <v/>
      </c>
      <c r="AZ20" s="40">
        <f>IF(AND(AZ$4&lt;=$G20,AZ$4+6&gt;=$E20),IF(OR($H20&gt;=1,AND($H20&gt;0,AZ$4+3&lt;$E20+($G20-$E20+1)*$H20)),2,1),IF(AND(Suivi&gt;=AZ$4,Suivi&lt;AZ$4+7),3,0))</f>
        <v/>
      </c>
      <c r="BA20" s="40">
        <f>IF(AND(BA$4&lt;=$G20,BA$4+6&gt;=$E20),IF(OR($H20&gt;=1,AND($H20&gt;0,BA$4+3&lt;$E20+($G20-$E20+1)*$H20)),2,1),IF(AND(Suivi&gt;=BA$4,Suivi&lt;BA$4+7),3,0))</f>
        <v/>
      </c>
      <c r="BB20" s="40">
        <f>IF(AND(BB$4&lt;=$G20,BB$4+6&gt;=$E20),IF(OR($H20&gt;=1,AND($H20&gt;0,BB$4+3&lt;$E20+($G20-$E20+1)*$H20)),2,1),IF(AND(Suivi&gt;=BB$4,Suivi&lt;BB$4+7),3,0))</f>
        <v/>
      </c>
      <c r="BC20" s="40">
        <f>IF(AND(BC$4&lt;=$G20,BC$4+6&gt;=$E20),IF(OR($H20&gt;=1,AND($H20&gt;0,BC$4+3&lt;$E20+($G20-$E20+1)*$H20)),2,1),IF(AND(Suivi&gt;=BC$4,Suivi&lt;BC$4+7),3,0))</f>
        <v/>
      </c>
      <c r="BD20" s="40">
        <f>IF(AND(BD$4&lt;=$G20,BD$4+6&gt;=$E20),IF(OR($H20&gt;=1,AND($H20&gt;0,BD$4+3&lt;$E20+($G20-$E20+1)*$H20)),2,1),IF(AND(Suivi&gt;=BD$4,Suivi&lt;BD$4+7),3,0))</f>
        <v/>
      </c>
      <c r="BE20" s="40">
        <f>IF(AND(BE$4&lt;=$G20,BE$4+6&gt;=$E20),IF(OR($H20&gt;=1,AND($H20&gt;0,BE$4+3&lt;$E20+($G20-$E20+1)*$H20)),2,1),IF(AND(Suivi&gt;=BE$4,Suivi&lt;BE$4+7),3,0))</f>
        <v/>
      </c>
      <c r="BF20" s="40">
        <f>IF(AND(BF$4&lt;=$G20,BF$4+6&gt;=$E20),IF(OR($H20&gt;=1,AND($H20&gt;0,BF$4+3&lt;$E20+($G20-$E20+1)*$H20)),2,1),IF(AND(Suivi&gt;=BF$4,Suivi&lt;BF$4+7),3,0))</f>
        <v/>
      </c>
      <c r="BG20" s="40">
        <f>IF(AND(BG$4&lt;=$G20,BG$4+6&gt;=$E20),IF(OR($H20&gt;=1,AND($H20&gt;0,BG$4+3&lt;$E20+($G20-$E20+1)*$H20)),2,1),IF(AND(Suivi&gt;=BG$4,Suivi&lt;BG$4+7),3,0))</f>
        <v/>
      </c>
      <c r="BH20" s="40">
        <f>IF(AND(BH$4&lt;=$G20,BH$4+6&gt;=$E20),IF(OR($H20&gt;=1,AND($H20&gt;0,BH$4+3&lt;$E20+($G20-$E20+1)*$H20)),2,1),IF(AND(Suivi&gt;=BH$4,Suivi&lt;BH$4+7),3,0))</f>
        <v/>
      </c>
      <c r="BI20" s="40">
        <f>IF(AND(BI$4&lt;=$G20,BI$4+6&gt;=$E20),IF(OR($H20&gt;=1,AND($H20&gt;0,BI$4+3&lt;$E20+($G20-$E20+1)*$H20)),2,1),IF(AND(Suivi&gt;=BI$4,Suivi&lt;BI$4+7),3,0))</f>
        <v/>
      </c>
      <c r="BJ20" s="40">
        <f>IF(AND(BJ$4&lt;=$G20,BJ$4+6&gt;=$E20),IF(OR($H20&gt;=1,AND($H20&gt;0,BJ$4+3&lt;$E20+($G20-$E20+1)*$H20)),2,1),IF(AND(Suivi&gt;=BJ$4,Suivi&lt;BJ$4+7),3,0))</f>
        <v/>
      </c>
      <c r="BK20" s="40">
        <f>IF(AND(BK$4&lt;=$G20,BK$4+6&gt;=$E20),IF(OR($H20&gt;=1,AND($H20&gt;0,BK$4+3&lt;$E20+($G20-$E20+1)*$H20)),2,1),IF(AND(Suivi&gt;=BK$4,Suivi&lt;BK$4+7),3,0))</f>
        <v/>
      </c>
      <c r="BL20" s="40">
        <f>IF(AND(BL$4&lt;=$G20,BL$4+6&gt;=$E20),IF(OR($H20&gt;=1,AND($H20&gt;0,BL$4+3&lt;$E20+($G20-$E20+1)*$H20)),2,1),IF(AND(Suivi&gt;=BL$4,Suivi&lt;BL$4+7),3,0))</f>
        <v/>
      </c>
      <c r="BM20" s="40">
        <f>IF(AND(BM$4&lt;=$G20,BM$4+6&gt;=$E20),IF(OR($H20&gt;=1,AND($H20&gt;0,BM$4+3&lt;$E20+($G20-$E20+1)*$H20)),2,1),IF(AND(Suivi&gt;=BM$4,Suivi&lt;BM$4+7),3,0))</f>
        <v/>
      </c>
      <c r="BN20" s="40">
        <f>IF(AND(BN$4&lt;=$G20,BN$4+6&gt;=$E20),IF(OR($H20&gt;=1,AND($H20&gt;0,BN$4+3&lt;$E20+($G20-$E20+1)*$H20)),2,1),IF(AND(Suivi&gt;=BN$4,Suivi&lt;BN$4+7),3,0))</f>
        <v/>
      </c>
      <c r="BO20" s="40">
        <f>IF(AND(BO$4&lt;=$G20,BO$4+6&gt;=$E20),IF(OR($H20&gt;=1,AND($H20&gt;0,BO$4+3&lt;$E20+($G20-$E20+1)*$H20)),2,1),IF(AND(Suivi&gt;=BO$4,Suivi&lt;BO$4+7),3,0))</f>
        <v/>
      </c>
    </row>
    <row r="21" ht="20" customHeight="1">
      <c r="A21" s="36" t="n">
        <v>17</v>
      </c>
      <c r="B21" s="36" t="inlineStr">
        <is>
          <t>الدهان والديكور</t>
        </is>
      </c>
      <c r="C21" s="36" t="inlineStr">
        <is>
          <t>تشطيبات</t>
        </is>
      </c>
      <c r="D21" s="36" t="inlineStr">
        <is>
          <t>فريق التشطيب</t>
        </is>
      </c>
      <c r="E21" s="37" t="n">
        <v>46354</v>
      </c>
      <c r="F21" s="36" t="n">
        <v>27</v>
      </c>
      <c r="G21" s="37">
        <f>WORKDAY.INTL(E21,F21-1,Repos)</f>
        <v/>
      </c>
      <c r="H21" s="38" t="n">
        <v>0</v>
      </c>
      <c r="I21" s="36">
        <f>IF(H21&gt;=1,"مكتملة",IF(AND(Suivi&gt;G21,H21&lt;1),"متأخرة",IF(Suivi&lt;E21,"لم تبدأ",IF(H21+0.15&lt;(Suivi-E21)/MAX(1,G21-E21),"تحتاج متابعة","جارية"))))</f>
        <v/>
      </c>
      <c r="J21" s="39" t="n">
        <v>1050000</v>
      </c>
      <c r="L21" s="40">
        <f>IF(AND(L$4&lt;=$G21,L$4+6&gt;=$E21),IF(OR($H21&gt;=1,AND($H21&gt;0,L$4+3&lt;$E21+($G21-$E21+1)*$H21)),2,1),IF(AND(Suivi&gt;=L$4,Suivi&lt;L$4+7),3,0))</f>
        <v/>
      </c>
      <c r="M21" s="40">
        <f>IF(AND(M$4&lt;=$G21,M$4+6&gt;=$E21),IF(OR($H21&gt;=1,AND($H21&gt;0,M$4+3&lt;$E21+($G21-$E21+1)*$H21)),2,1),IF(AND(Suivi&gt;=M$4,Suivi&lt;M$4+7),3,0))</f>
        <v/>
      </c>
      <c r="N21" s="40">
        <f>IF(AND(N$4&lt;=$G21,N$4+6&gt;=$E21),IF(OR($H21&gt;=1,AND($H21&gt;0,N$4+3&lt;$E21+($G21-$E21+1)*$H21)),2,1),IF(AND(Suivi&gt;=N$4,Suivi&lt;N$4+7),3,0))</f>
        <v/>
      </c>
      <c r="O21" s="40">
        <f>IF(AND(O$4&lt;=$G21,O$4+6&gt;=$E21),IF(OR($H21&gt;=1,AND($H21&gt;0,O$4+3&lt;$E21+($G21-$E21+1)*$H21)),2,1),IF(AND(Suivi&gt;=O$4,Suivi&lt;O$4+7),3,0))</f>
        <v/>
      </c>
      <c r="P21" s="40">
        <f>IF(AND(P$4&lt;=$G21,P$4+6&gt;=$E21),IF(OR($H21&gt;=1,AND($H21&gt;0,P$4+3&lt;$E21+($G21-$E21+1)*$H21)),2,1),IF(AND(Suivi&gt;=P$4,Suivi&lt;P$4+7),3,0))</f>
        <v/>
      </c>
      <c r="Q21" s="40">
        <f>IF(AND(Q$4&lt;=$G21,Q$4+6&gt;=$E21),IF(OR($H21&gt;=1,AND($H21&gt;0,Q$4+3&lt;$E21+($G21-$E21+1)*$H21)),2,1),IF(AND(Suivi&gt;=Q$4,Suivi&lt;Q$4+7),3,0))</f>
        <v/>
      </c>
      <c r="R21" s="40">
        <f>IF(AND(R$4&lt;=$G21,R$4+6&gt;=$E21),IF(OR($H21&gt;=1,AND($H21&gt;0,R$4+3&lt;$E21+($G21-$E21+1)*$H21)),2,1),IF(AND(Suivi&gt;=R$4,Suivi&lt;R$4+7),3,0))</f>
        <v/>
      </c>
      <c r="S21" s="40">
        <f>IF(AND(S$4&lt;=$G21,S$4+6&gt;=$E21),IF(OR($H21&gt;=1,AND($H21&gt;0,S$4+3&lt;$E21+($G21-$E21+1)*$H21)),2,1),IF(AND(Suivi&gt;=S$4,Suivi&lt;S$4+7),3,0))</f>
        <v/>
      </c>
      <c r="T21" s="40">
        <f>IF(AND(T$4&lt;=$G21,T$4+6&gt;=$E21),IF(OR($H21&gt;=1,AND($H21&gt;0,T$4+3&lt;$E21+($G21-$E21+1)*$H21)),2,1),IF(AND(Suivi&gt;=T$4,Suivi&lt;T$4+7),3,0))</f>
        <v/>
      </c>
      <c r="U21" s="40">
        <f>IF(AND(U$4&lt;=$G21,U$4+6&gt;=$E21),IF(OR($H21&gt;=1,AND($H21&gt;0,U$4+3&lt;$E21+($G21-$E21+1)*$H21)),2,1),IF(AND(Suivi&gt;=U$4,Suivi&lt;U$4+7),3,0))</f>
        <v/>
      </c>
      <c r="V21" s="40">
        <f>IF(AND(V$4&lt;=$G21,V$4+6&gt;=$E21),IF(OR($H21&gt;=1,AND($H21&gt;0,V$4+3&lt;$E21+($G21-$E21+1)*$H21)),2,1),IF(AND(Suivi&gt;=V$4,Suivi&lt;V$4+7),3,0))</f>
        <v/>
      </c>
      <c r="W21" s="40">
        <f>IF(AND(W$4&lt;=$G21,W$4+6&gt;=$E21),IF(OR($H21&gt;=1,AND($H21&gt;0,W$4+3&lt;$E21+($G21-$E21+1)*$H21)),2,1),IF(AND(Suivi&gt;=W$4,Suivi&lt;W$4+7),3,0))</f>
        <v/>
      </c>
      <c r="X21" s="40">
        <f>IF(AND(X$4&lt;=$G21,X$4+6&gt;=$E21),IF(OR($H21&gt;=1,AND($H21&gt;0,X$4+3&lt;$E21+($G21-$E21+1)*$H21)),2,1),IF(AND(Suivi&gt;=X$4,Suivi&lt;X$4+7),3,0))</f>
        <v/>
      </c>
      <c r="Y21" s="40">
        <f>IF(AND(Y$4&lt;=$G21,Y$4+6&gt;=$E21),IF(OR($H21&gt;=1,AND($H21&gt;0,Y$4+3&lt;$E21+($G21-$E21+1)*$H21)),2,1),IF(AND(Suivi&gt;=Y$4,Suivi&lt;Y$4+7),3,0))</f>
        <v/>
      </c>
      <c r="Z21" s="40">
        <f>IF(AND(Z$4&lt;=$G21,Z$4+6&gt;=$E21),IF(OR($H21&gt;=1,AND($H21&gt;0,Z$4+3&lt;$E21+($G21-$E21+1)*$H21)),2,1),IF(AND(Suivi&gt;=Z$4,Suivi&lt;Z$4+7),3,0))</f>
        <v/>
      </c>
      <c r="AA21" s="40">
        <f>IF(AND(AA$4&lt;=$G21,AA$4+6&gt;=$E21),IF(OR($H21&gt;=1,AND($H21&gt;0,AA$4+3&lt;$E21+($G21-$E21+1)*$H21)),2,1),IF(AND(Suivi&gt;=AA$4,Suivi&lt;AA$4+7),3,0))</f>
        <v/>
      </c>
      <c r="AB21" s="40">
        <f>IF(AND(AB$4&lt;=$G21,AB$4+6&gt;=$E21),IF(OR($H21&gt;=1,AND($H21&gt;0,AB$4+3&lt;$E21+($G21-$E21+1)*$H21)),2,1),IF(AND(Suivi&gt;=AB$4,Suivi&lt;AB$4+7),3,0))</f>
        <v/>
      </c>
      <c r="AC21" s="40">
        <f>IF(AND(AC$4&lt;=$G21,AC$4+6&gt;=$E21),IF(OR($H21&gt;=1,AND($H21&gt;0,AC$4+3&lt;$E21+($G21-$E21+1)*$H21)),2,1),IF(AND(Suivi&gt;=AC$4,Suivi&lt;AC$4+7),3,0))</f>
        <v/>
      </c>
      <c r="AD21" s="40">
        <f>IF(AND(AD$4&lt;=$G21,AD$4+6&gt;=$E21),IF(OR($H21&gt;=1,AND($H21&gt;0,AD$4+3&lt;$E21+($G21-$E21+1)*$H21)),2,1),IF(AND(Suivi&gt;=AD$4,Suivi&lt;AD$4+7),3,0))</f>
        <v/>
      </c>
      <c r="AE21" s="40">
        <f>IF(AND(AE$4&lt;=$G21,AE$4+6&gt;=$E21),IF(OR($H21&gt;=1,AND($H21&gt;0,AE$4+3&lt;$E21+($G21-$E21+1)*$H21)),2,1),IF(AND(Suivi&gt;=AE$4,Suivi&lt;AE$4+7),3,0))</f>
        <v/>
      </c>
      <c r="AF21" s="40">
        <f>IF(AND(AF$4&lt;=$G21,AF$4+6&gt;=$E21),IF(OR($H21&gt;=1,AND($H21&gt;0,AF$4+3&lt;$E21+($G21-$E21+1)*$H21)),2,1),IF(AND(Suivi&gt;=AF$4,Suivi&lt;AF$4+7),3,0))</f>
        <v/>
      </c>
      <c r="AG21" s="40">
        <f>IF(AND(AG$4&lt;=$G21,AG$4+6&gt;=$E21),IF(OR($H21&gt;=1,AND($H21&gt;0,AG$4+3&lt;$E21+($G21-$E21+1)*$H21)),2,1),IF(AND(Suivi&gt;=AG$4,Suivi&lt;AG$4+7),3,0))</f>
        <v/>
      </c>
      <c r="AH21" s="40">
        <f>IF(AND(AH$4&lt;=$G21,AH$4+6&gt;=$E21),IF(OR($H21&gt;=1,AND($H21&gt;0,AH$4+3&lt;$E21+($G21-$E21+1)*$H21)),2,1),IF(AND(Suivi&gt;=AH$4,Suivi&lt;AH$4+7),3,0))</f>
        <v/>
      </c>
      <c r="AI21" s="40">
        <f>IF(AND(AI$4&lt;=$G21,AI$4+6&gt;=$E21),IF(OR($H21&gt;=1,AND($H21&gt;0,AI$4+3&lt;$E21+($G21-$E21+1)*$H21)),2,1),IF(AND(Suivi&gt;=AI$4,Suivi&lt;AI$4+7),3,0))</f>
        <v/>
      </c>
      <c r="AJ21" s="40">
        <f>IF(AND(AJ$4&lt;=$G21,AJ$4+6&gt;=$E21),IF(OR($H21&gt;=1,AND($H21&gt;0,AJ$4+3&lt;$E21+($G21-$E21+1)*$H21)),2,1),IF(AND(Suivi&gt;=AJ$4,Suivi&lt;AJ$4+7),3,0))</f>
        <v/>
      </c>
      <c r="AK21" s="40">
        <f>IF(AND(AK$4&lt;=$G21,AK$4+6&gt;=$E21),IF(OR($H21&gt;=1,AND($H21&gt;0,AK$4+3&lt;$E21+($G21-$E21+1)*$H21)),2,1),IF(AND(Suivi&gt;=AK$4,Suivi&lt;AK$4+7),3,0))</f>
        <v/>
      </c>
      <c r="AL21" s="40">
        <f>IF(AND(AL$4&lt;=$G21,AL$4+6&gt;=$E21),IF(OR($H21&gt;=1,AND($H21&gt;0,AL$4+3&lt;$E21+($G21-$E21+1)*$H21)),2,1),IF(AND(Suivi&gt;=AL$4,Suivi&lt;AL$4+7),3,0))</f>
        <v/>
      </c>
      <c r="AM21" s="40">
        <f>IF(AND(AM$4&lt;=$G21,AM$4+6&gt;=$E21),IF(OR($H21&gt;=1,AND($H21&gt;0,AM$4+3&lt;$E21+($G21-$E21+1)*$H21)),2,1),IF(AND(Suivi&gt;=AM$4,Suivi&lt;AM$4+7),3,0))</f>
        <v/>
      </c>
      <c r="AN21" s="40">
        <f>IF(AND(AN$4&lt;=$G21,AN$4+6&gt;=$E21),IF(OR($H21&gt;=1,AND($H21&gt;0,AN$4+3&lt;$E21+($G21-$E21+1)*$H21)),2,1),IF(AND(Suivi&gt;=AN$4,Suivi&lt;AN$4+7),3,0))</f>
        <v/>
      </c>
      <c r="AO21" s="40">
        <f>IF(AND(AO$4&lt;=$G21,AO$4+6&gt;=$E21),IF(OR($H21&gt;=1,AND($H21&gt;0,AO$4+3&lt;$E21+($G21-$E21+1)*$H21)),2,1),IF(AND(Suivi&gt;=AO$4,Suivi&lt;AO$4+7),3,0))</f>
        <v/>
      </c>
      <c r="AP21" s="40">
        <f>IF(AND(AP$4&lt;=$G21,AP$4+6&gt;=$E21),IF(OR($H21&gt;=1,AND($H21&gt;0,AP$4+3&lt;$E21+($G21-$E21+1)*$H21)),2,1),IF(AND(Suivi&gt;=AP$4,Suivi&lt;AP$4+7),3,0))</f>
        <v/>
      </c>
      <c r="AQ21" s="40">
        <f>IF(AND(AQ$4&lt;=$G21,AQ$4+6&gt;=$E21),IF(OR($H21&gt;=1,AND($H21&gt;0,AQ$4+3&lt;$E21+($G21-$E21+1)*$H21)),2,1),IF(AND(Suivi&gt;=AQ$4,Suivi&lt;AQ$4+7),3,0))</f>
        <v/>
      </c>
      <c r="AR21" s="40">
        <f>IF(AND(AR$4&lt;=$G21,AR$4+6&gt;=$E21),IF(OR($H21&gt;=1,AND($H21&gt;0,AR$4+3&lt;$E21+($G21-$E21+1)*$H21)),2,1),IF(AND(Suivi&gt;=AR$4,Suivi&lt;AR$4+7),3,0))</f>
        <v/>
      </c>
      <c r="AS21" s="40">
        <f>IF(AND(AS$4&lt;=$G21,AS$4+6&gt;=$E21),IF(OR($H21&gt;=1,AND($H21&gt;0,AS$4+3&lt;$E21+($G21-$E21+1)*$H21)),2,1),IF(AND(Suivi&gt;=AS$4,Suivi&lt;AS$4+7),3,0))</f>
        <v/>
      </c>
      <c r="AT21" s="40">
        <f>IF(AND(AT$4&lt;=$G21,AT$4+6&gt;=$E21),IF(OR($H21&gt;=1,AND($H21&gt;0,AT$4+3&lt;$E21+($G21-$E21+1)*$H21)),2,1),IF(AND(Suivi&gt;=AT$4,Suivi&lt;AT$4+7),3,0))</f>
        <v/>
      </c>
      <c r="AU21" s="40">
        <f>IF(AND(AU$4&lt;=$G21,AU$4+6&gt;=$E21),IF(OR($H21&gt;=1,AND($H21&gt;0,AU$4+3&lt;$E21+($G21-$E21+1)*$H21)),2,1),IF(AND(Suivi&gt;=AU$4,Suivi&lt;AU$4+7),3,0))</f>
        <v/>
      </c>
      <c r="AV21" s="40">
        <f>IF(AND(AV$4&lt;=$G21,AV$4+6&gt;=$E21),IF(OR($H21&gt;=1,AND($H21&gt;0,AV$4+3&lt;$E21+($G21-$E21+1)*$H21)),2,1),IF(AND(Suivi&gt;=AV$4,Suivi&lt;AV$4+7),3,0))</f>
        <v/>
      </c>
      <c r="AW21" s="40">
        <f>IF(AND(AW$4&lt;=$G21,AW$4+6&gt;=$E21),IF(OR($H21&gt;=1,AND($H21&gt;0,AW$4+3&lt;$E21+($G21-$E21+1)*$H21)),2,1),IF(AND(Suivi&gt;=AW$4,Suivi&lt;AW$4+7),3,0))</f>
        <v/>
      </c>
      <c r="AX21" s="40">
        <f>IF(AND(AX$4&lt;=$G21,AX$4+6&gt;=$E21),IF(OR($H21&gt;=1,AND($H21&gt;0,AX$4+3&lt;$E21+($G21-$E21+1)*$H21)),2,1),IF(AND(Suivi&gt;=AX$4,Suivi&lt;AX$4+7),3,0))</f>
        <v/>
      </c>
      <c r="AY21" s="40">
        <f>IF(AND(AY$4&lt;=$G21,AY$4+6&gt;=$E21),IF(OR($H21&gt;=1,AND($H21&gt;0,AY$4+3&lt;$E21+($G21-$E21+1)*$H21)),2,1),IF(AND(Suivi&gt;=AY$4,Suivi&lt;AY$4+7),3,0))</f>
        <v/>
      </c>
      <c r="AZ21" s="40">
        <f>IF(AND(AZ$4&lt;=$G21,AZ$4+6&gt;=$E21),IF(OR($H21&gt;=1,AND($H21&gt;0,AZ$4+3&lt;$E21+($G21-$E21+1)*$H21)),2,1),IF(AND(Suivi&gt;=AZ$4,Suivi&lt;AZ$4+7),3,0))</f>
        <v/>
      </c>
      <c r="BA21" s="40">
        <f>IF(AND(BA$4&lt;=$G21,BA$4+6&gt;=$E21),IF(OR($H21&gt;=1,AND($H21&gt;0,BA$4+3&lt;$E21+($G21-$E21+1)*$H21)),2,1),IF(AND(Suivi&gt;=BA$4,Suivi&lt;BA$4+7),3,0))</f>
        <v/>
      </c>
      <c r="BB21" s="40">
        <f>IF(AND(BB$4&lt;=$G21,BB$4+6&gt;=$E21),IF(OR($H21&gt;=1,AND($H21&gt;0,BB$4+3&lt;$E21+($G21-$E21+1)*$H21)),2,1),IF(AND(Suivi&gt;=BB$4,Suivi&lt;BB$4+7),3,0))</f>
        <v/>
      </c>
      <c r="BC21" s="40">
        <f>IF(AND(BC$4&lt;=$G21,BC$4+6&gt;=$E21),IF(OR($H21&gt;=1,AND($H21&gt;0,BC$4+3&lt;$E21+($G21-$E21+1)*$H21)),2,1),IF(AND(Suivi&gt;=BC$4,Suivi&lt;BC$4+7),3,0))</f>
        <v/>
      </c>
      <c r="BD21" s="40">
        <f>IF(AND(BD$4&lt;=$G21,BD$4+6&gt;=$E21),IF(OR($H21&gt;=1,AND($H21&gt;0,BD$4+3&lt;$E21+($G21-$E21+1)*$H21)),2,1),IF(AND(Suivi&gt;=BD$4,Suivi&lt;BD$4+7),3,0))</f>
        <v/>
      </c>
      <c r="BE21" s="40">
        <f>IF(AND(BE$4&lt;=$G21,BE$4+6&gt;=$E21),IF(OR($H21&gt;=1,AND($H21&gt;0,BE$4+3&lt;$E21+($G21-$E21+1)*$H21)),2,1),IF(AND(Suivi&gt;=BE$4,Suivi&lt;BE$4+7),3,0))</f>
        <v/>
      </c>
      <c r="BF21" s="40">
        <f>IF(AND(BF$4&lt;=$G21,BF$4+6&gt;=$E21),IF(OR($H21&gt;=1,AND($H21&gt;0,BF$4+3&lt;$E21+($G21-$E21+1)*$H21)),2,1),IF(AND(Suivi&gt;=BF$4,Suivi&lt;BF$4+7),3,0))</f>
        <v/>
      </c>
      <c r="BG21" s="40">
        <f>IF(AND(BG$4&lt;=$G21,BG$4+6&gt;=$E21),IF(OR($H21&gt;=1,AND($H21&gt;0,BG$4+3&lt;$E21+($G21-$E21+1)*$H21)),2,1),IF(AND(Suivi&gt;=BG$4,Suivi&lt;BG$4+7),3,0))</f>
        <v/>
      </c>
      <c r="BH21" s="40">
        <f>IF(AND(BH$4&lt;=$G21,BH$4+6&gt;=$E21),IF(OR($H21&gt;=1,AND($H21&gt;0,BH$4+3&lt;$E21+($G21-$E21+1)*$H21)),2,1),IF(AND(Suivi&gt;=BH$4,Suivi&lt;BH$4+7),3,0))</f>
        <v/>
      </c>
      <c r="BI21" s="40">
        <f>IF(AND(BI$4&lt;=$G21,BI$4+6&gt;=$E21),IF(OR($H21&gt;=1,AND($H21&gt;0,BI$4+3&lt;$E21+($G21-$E21+1)*$H21)),2,1),IF(AND(Suivi&gt;=BI$4,Suivi&lt;BI$4+7),3,0))</f>
        <v/>
      </c>
      <c r="BJ21" s="40">
        <f>IF(AND(BJ$4&lt;=$G21,BJ$4+6&gt;=$E21),IF(OR($H21&gt;=1,AND($H21&gt;0,BJ$4+3&lt;$E21+($G21-$E21+1)*$H21)),2,1),IF(AND(Suivi&gt;=BJ$4,Suivi&lt;BJ$4+7),3,0))</f>
        <v/>
      </c>
      <c r="BK21" s="40">
        <f>IF(AND(BK$4&lt;=$G21,BK$4+6&gt;=$E21),IF(OR($H21&gt;=1,AND($H21&gt;0,BK$4+3&lt;$E21+($G21-$E21+1)*$H21)),2,1),IF(AND(Suivi&gt;=BK$4,Suivi&lt;BK$4+7),3,0))</f>
        <v/>
      </c>
      <c r="BL21" s="40">
        <f>IF(AND(BL$4&lt;=$G21,BL$4+6&gt;=$E21),IF(OR($H21&gt;=1,AND($H21&gt;0,BL$4+3&lt;$E21+($G21-$E21+1)*$H21)),2,1),IF(AND(Suivi&gt;=BL$4,Suivi&lt;BL$4+7),3,0))</f>
        <v/>
      </c>
      <c r="BM21" s="40">
        <f>IF(AND(BM$4&lt;=$G21,BM$4+6&gt;=$E21),IF(OR($H21&gt;=1,AND($H21&gt;0,BM$4+3&lt;$E21+($G21-$E21+1)*$H21)),2,1),IF(AND(Suivi&gt;=BM$4,Suivi&lt;BM$4+7),3,0))</f>
        <v/>
      </c>
      <c r="BN21" s="40">
        <f>IF(AND(BN$4&lt;=$G21,BN$4+6&gt;=$E21),IF(OR($H21&gt;=1,AND($H21&gt;0,BN$4+3&lt;$E21+($G21-$E21+1)*$H21)),2,1),IF(AND(Suivi&gt;=BN$4,Suivi&lt;BN$4+7),3,0))</f>
        <v/>
      </c>
      <c r="BO21" s="40">
        <f>IF(AND(BO$4&lt;=$G21,BO$4+6&gt;=$E21),IF(OR($H21&gt;=1,AND($H21&gt;0,BO$4+3&lt;$E21+($G21-$E21+1)*$H21)),2,1),IF(AND(Suivi&gt;=BO$4,Suivi&lt;BO$4+7),3,0))</f>
        <v/>
      </c>
    </row>
    <row r="22" ht="20" customHeight="1">
      <c r="A22" s="36" t="n">
        <v>18</v>
      </c>
      <c r="B22" s="36" t="inlineStr">
        <is>
          <t>المطبخ والحمامات (تركيب)</t>
        </is>
      </c>
      <c r="C22" s="36" t="inlineStr">
        <is>
          <t>تشطيبات</t>
        </is>
      </c>
      <c r="D22" s="36" t="inlineStr">
        <is>
          <t>مورّد التجهيزات</t>
        </is>
      </c>
      <c r="E22" s="37" t="n">
        <v>46354</v>
      </c>
      <c r="F22" s="36" t="n">
        <v>15</v>
      </c>
      <c r="G22" s="37">
        <f>WORKDAY.INTL(E22,F22-1,Repos)</f>
        <v/>
      </c>
      <c r="H22" s="38" t="n">
        <v>0</v>
      </c>
      <c r="I22" s="36">
        <f>IF(H22&gt;=1,"مكتملة",IF(AND(Suivi&gt;G22,H22&lt;1),"متأخرة",IF(Suivi&lt;E22,"لم تبدأ",IF(H22+0.15&lt;(Suivi-E22)/MAX(1,G22-E22),"تحتاج متابعة","جارية"))))</f>
        <v/>
      </c>
      <c r="J22" s="39" t="n">
        <v>1600000</v>
      </c>
      <c r="L22" s="40">
        <f>IF(AND(L$4&lt;=$G22,L$4+6&gt;=$E22),IF(OR($H22&gt;=1,AND($H22&gt;0,L$4+3&lt;$E22+($G22-$E22+1)*$H22)),2,1),IF(AND(Suivi&gt;=L$4,Suivi&lt;L$4+7),3,0))</f>
        <v/>
      </c>
      <c r="M22" s="40">
        <f>IF(AND(M$4&lt;=$G22,M$4+6&gt;=$E22),IF(OR($H22&gt;=1,AND($H22&gt;0,M$4+3&lt;$E22+($G22-$E22+1)*$H22)),2,1),IF(AND(Suivi&gt;=M$4,Suivi&lt;M$4+7),3,0))</f>
        <v/>
      </c>
      <c r="N22" s="40">
        <f>IF(AND(N$4&lt;=$G22,N$4+6&gt;=$E22),IF(OR($H22&gt;=1,AND($H22&gt;0,N$4+3&lt;$E22+($G22-$E22+1)*$H22)),2,1),IF(AND(Suivi&gt;=N$4,Suivi&lt;N$4+7),3,0))</f>
        <v/>
      </c>
      <c r="O22" s="40">
        <f>IF(AND(O$4&lt;=$G22,O$4+6&gt;=$E22),IF(OR($H22&gt;=1,AND($H22&gt;0,O$4+3&lt;$E22+($G22-$E22+1)*$H22)),2,1),IF(AND(Suivi&gt;=O$4,Suivi&lt;O$4+7),3,0))</f>
        <v/>
      </c>
      <c r="P22" s="40">
        <f>IF(AND(P$4&lt;=$G22,P$4+6&gt;=$E22),IF(OR($H22&gt;=1,AND($H22&gt;0,P$4+3&lt;$E22+($G22-$E22+1)*$H22)),2,1),IF(AND(Suivi&gt;=P$4,Suivi&lt;P$4+7),3,0))</f>
        <v/>
      </c>
      <c r="Q22" s="40">
        <f>IF(AND(Q$4&lt;=$G22,Q$4+6&gt;=$E22),IF(OR($H22&gt;=1,AND($H22&gt;0,Q$4+3&lt;$E22+($G22-$E22+1)*$H22)),2,1),IF(AND(Suivi&gt;=Q$4,Suivi&lt;Q$4+7),3,0))</f>
        <v/>
      </c>
      <c r="R22" s="40">
        <f>IF(AND(R$4&lt;=$G22,R$4+6&gt;=$E22),IF(OR($H22&gt;=1,AND($H22&gt;0,R$4+3&lt;$E22+($G22-$E22+1)*$H22)),2,1),IF(AND(Suivi&gt;=R$4,Suivi&lt;R$4+7),3,0))</f>
        <v/>
      </c>
      <c r="S22" s="40">
        <f>IF(AND(S$4&lt;=$G22,S$4+6&gt;=$E22),IF(OR($H22&gt;=1,AND($H22&gt;0,S$4+3&lt;$E22+($G22-$E22+1)*$H22)),2,1),IF(AND(Suivi&gt;=S$4,Suivi&lt;S$4+7),3,0))</f>
        <v/>
      </c>
      <c r="T22" s="40">
        <f>IF(AND(T$4&lt;=$G22,T$4+6&gt;=$E22),IF(OR($H22&gt;=1,AND($H22&gt;0,T$4+3&lt;$E22+($G22-$E22+1)*$H22)),2,1),IF(AND(Suivi&gt;=T$4,Suivi&lt;T$4+7),3,0))</f>
        <v/>
      </c>
      <c r="U22" s="40">
        <f>IF(AND(U$4&lt;=$G22,U$4+6&gt;=$E22),IF(OR($H22&gt;=1,AND($H22&gt;0,U$4+3&lt;$E22+($G22-$E22+1)*$H22)),2,1),IF(AND(Suivi&gt;=U$4,Suivi&lt;U$4+7),3,0))</f>
        <v/>
      </c>
      <c r="V22" s="40">
        <f>IF(AND(V$4&lt;=$G22,V$4+6&gt;=$E22),IF(OR($H22&gt;=1,AND($H22&gt;0,V$4+3&lt;$E22+($G22-$E22+1)*$H22)),2,1),IF(AND(Suivi&gt;=V$4,Suivi&lt;V$4+7),3,0))</f>
        <v/>
      </c>
      <c r="W22" s="40">
        <f>IF(AND(W$4&lt;=$G22,W$4+6&gt;=$E22),IF(OR($H22&gt;=1,AND($H22&gt;0,W$4+3&lt;$E22+($G22-$E22+1)*$H22)),2,1),IF(AND(Suivi&gt;=W$4,Suivi&lt;W$4+7),3,0))</f>
        <v/>
      </c>
      <c r="X22" s="40">
        <f>IF(AND(X$4&lt;=$G22,X$4+6&gt;=$E22),IF(OR($H22&gt;=1,AND($H22&gt;0,X$4+3&lt;$E22+($G22-$E22+1)*$H22)),2,1),IF(AND(Suivi&gt;=X$4,Suivi&lt;X$4+7),3,0))</f>
        <v/>
      </c>
      <c r="Y22" s="40">
        <f>IF(AND(Y$4&lt;=$G22,Y$4+6&gt;=$E22),IF(OR($H22&gt;=1,AND($H22&gt;0,Y$4+3&lt;$E22+($G22-$E22+1)*$H22)),2,1),IF(AND(Suivi&gt;=Y$4,Suivi&lt;Y$4+7),3,0))</f>
        <v/>
      </c>
      <c r="Z22" s="40">
        <f>IF(AND(Z$4&lt;=$G22,Z$4+6&gt;=$E22),IF(OR($H22&gt;=1,AND($H22&gt;0,Z$4+3&lt;$E22+($G22-$E22+1)*$H22)),2,1),IF(AND(Suivi&gt;=Z$4,Suivi&lt;Z$4+7),3,0))</f>
        <v/>
      </c>
      <c r="AA22" s="40">
        <f>IF(AND(AA$4&lt;=$G22,AA$4+6&gt;=$E22),IF(OR($H22&gt;=1,AND($H22&gt;0,AA$4+3&lt;$E22+($G22-$E22+1)*$H22)),2,1),IF(AND(Suivi&gt;=AA$4,Suivi&lt;AA$4+7),3,0))</f>
        <v/>
      </c>
      <c r="AB22" s="40">
        <f>IF(AND(AB$4&lt;=$G22,AB$4+6&gt;=$E22),IF(OR($H22&gt;=1,AND($H22&gt;0,AB$4+3&lt;$E22+($G22-$E22+1)*$H22)),2,1),IF(AND(Suivi&gt;=AB$4,Suivi&lt;AB$4+7),3,0))</f>
        <v/>
      </c>
      <c r="AC22" s="40">
        <f>IF(AND(AC$4&lt;=$G22,AC$4+6&gt;=$E22),IF(OR($H22&gt;=1,AND($H22&gt;0,AC$4+3&lt;$E22+($G22-$E22+1)*$H22)),2,1),IF(AND(Suivi&gt;=AC$4,Suivi&lt;AC$4+7),3,0))</f>
        <v/>
      </c>
      <c r="AD22" s="40">
        <f>IF(AND(AD$4&lt;=$G22,AD$4+6&gt;=$E22),IF(OR($H22&gt;=1,AND($H22&gt;0,AD$4+3&lt;$E22+($G22-$E22+1)*$H22)),2,1),IF(AND(Suivi&gt;=AD$4,Suivi&lt;AD$4+7),3,0))</f>
        <v/>
      </c>
      <c r="AE22" s="40">
        <f>IF(AND(AE$4&lt;=$G22,AE$4+6&gt;=$E22),IF(OR($H22&gt;=1,AND($H22&gt;0,AE$4+3&lt;$E22+($G22-$E22+1)*$H22)),2,1),IF(AND(Suivi&gt;=AE$4,Suivi&lt;AE$4+7),3,0))</f>
        <v/>
      </c>
      <c r="AF22" s="40">
        <f>IF(AND(AF$4&lt;=$G22,AF$4+6&gt;=$E22),IF(OR($H22&gt;=1,AND($H22&gt;0,AF$4+3&lt;$E22+($G22-$E22+1)*$H22)),2,1),IF(AND(Suivi&gt;=AF$4,Suivi&lt;AF$4+7),3,0))</f>
        <v/>
      </c>
      <c r="AG22" s="40">
        <f>IF(AND(AG$4&lt;=$G22,AG$4+6&gt;=$E22),IF(OR($H22&gt;=1,AND($H22&gt;0,AG$4+3&lt;$E22+($G22-$E22+1)*$H22)),2,1),IF(AND(Suivi&gt;=AG$4,Suivi&lt;AG$4+7),3,0))</f>
        <v/>
      </c>
      <c r="AH22" s="40">
        <f>IF(AND(AH$4&lt;=$G22,AH$4+6&gt;=$E22),IF(OR($H22&gt;=1,AND($H22&gt;0,AH$4+3&lt;$E22+($G22-$E22+1)*$H22)),2,1),IF(AND(Suivi&gt;=AH$4,Suivi&lt;AH$4+7),3,0))</f>
        <v/>
      </c>
      <c r="AI22" s="40">
        <f>IF(AND(AI$4&lt;=$G22,AI$4+6&gt;=$E22),IF(OR($H22&gt;=1,AND($H22&gt;0,AI$4+3&lt;$E22+($G22-$E22+1)*$H22)),2,1),IF(AND(Suivi&gt;=AI$4,Suivi&lt;AI$4+7),3,0))</f>
        <v/>
      </c>
      <c r="AJ22" s="40">
        <f>IF(AND(AJ$4&lt;=$G22,AJ$4+6&gt;=$E22),IF(OR($H22&gt;=1,AND($H22&gt;0,AJ$4+3&lt;$E22+($G22-$E22+1)*$H22)),2,1),IF(AND(Suivi&gt;=AJ$4,Suivi&lt;AJ$4+7),3,0))</f>
        <v/>
      </c>
      <c r="AK22" s="40">
        <f>IF(AND(AK$4&lt;=$G22,AK$4+6&gt;=$E22),IF(OR($H22&gt;=1,AND($H22&gt;0,AK$4+3&lt;$E22+($G22-$E22+1)*$H22)),2,1),IF(AND(Suivi&gt;=AK$4,Suivi&lt;AK$4+7),3,0))</f>
        <v/>
      </c>
      <c r="AL22" s="40">
        <f>IF(AND(AL$4&lt;=$G22,AL$4+6&gt;=$E22),IF(OR($H22&gt;=1,AND($H22&gt;0,AL$4+3&lt;$E22+($G22-$E22+1)*$H22)),2,1),IF(AND(Suivi&gt;=AL$4,Suivi&lt;AL$4+7),3,0))</f>
        <v/>
      </c>
      <c r="AM22" s="40">
        <f>IF(AND(AM$4&lt;=$G22,AM$4+6&gt;=$E22),IF(OR($H22&gt;=1,AND($H22&gt;0,AM$4+3&lt;$E22+($G22-$E22+1)*$H22)),2,1),IF(AND(Suivi&gt;=AM$4,Suivi&lt;AM$4+7),3,0))</f>
        <v/>
      </c>
      <c r="AN22" s="40">
        <f>IF(AND(AN$4&lt;=$G22,AN$4+6&gt;=$E22),IF(OR($H22&gt;=1,AND($H22&gt;0,AN$4+3&lt;$E22+($G22-$E22+1)*$H22)),2,1),IF(AND(Suivi&gt;=AN$4,Suivi&lt;AN$4+7),3,0))</f>
        <v/>
      </c>
      <c r="AO22" s="40">
        <f>IF(AND(AO$4&lt;=$G22,AO$4+6&gt;=$E22),IF(OR($H22&gt;=1,AND($H22&gt;0,AO$4+3&lt;$E22+($G22-$E22+1)*$H22)),2,1),IF(AND(Suivi&gt;=AO$4,Suivi&lt;AO$4+7),3,0))</f>
        <v/>
      </c>
      <c r="AP22" s="40">
        <f>IF(AND(AP$4&lt;=$G22,AP$4+6&gt;=$E22),IF(OR($H22&gt;=1,AND($H22&gt;0,AP$4+3&lt;$E22+($G22-$E22+1)*$H22)),2,1),IF(AND(Suivi&gt;=AP$4,Suivi&lt;AP$4+7),3,0))</f>
        <v/>
      </c>
      <c r="AQ22" s="40">
        <f>IF(AND(AQ$4&lt;=$G22,AQ$4+6&gt;=$E22),IF(OR($H22&gt;=1,AND($H22&gt;0,AQ$4+3&lt;$E22+($G22-$E22+1)*$H22)),2,1),IF(AND(Suivi&gt;=AQ$4,Suivi&lt;AQ$4+7),3,0))</f>
        <v/>
      </c>
      <c r="AR22" s="40">
        <f>IF(AND(AR$4&lt;=$G22,AR$4+6&gt;=$E22),IF(OR($H22&gt;=1,AND($H22&gt;0,AR$4+3&lt;$E22+($G22-$E22+1)*$H22)),2,1),IF(AND(Suivi&gt;=AR$4,Suivi&lt;AR$4+7),3,0))</f>
        <v/>
      </c>
      <c r="AS22" s="40">
        <f>IF(AND(AS$4&lt;=$G22,AS$4+6&gt;=$E22),IF(OR($H22&gt;=1,AND($H22&gt;0,AS$4+3&lt;$E22+($G22-$E22+1)*$H22)),2,1),IF(AND(Suivi&gt;=AS$4,Suivi&lt;AS$4+7),3,0))</f>
        <v/>
      </c>
      <c r="AT22" s="40">
        <f>IF(AND(AT$4&lt;=$G22,AT$4+6&gt;=$E22),IF(OR($H22&gt;=1,AND($H22&gt;0,AT$4+3&lt;$E22+($G22-$E22+1)*$H22)),2,1),IF(AND(Suivi&gt;=AT$4,Suivi&lt;AT$4+7),3,0))</f>
        <v/>
      </c>
      <c r="AU22" s="40">
        <f>IF(AND(AU$4&lt;=$G22,AU$4+6&gt;=$E22),IF(OR($H22&gt;=1,AND($H22&gt;0,AU$4+3&lt;$E22+($G22-$E22+1)*$H22)),2,1),IF(AND(Suivi&gt;=AU$4,Suivi&lt;AU$4+7),3,0))</f>
        <v/>
      </c>
      <c r="AV22" s="40">
        <f>IF(AND(AV$4&lt;=$G22,AV$4+6&gt;=$E22),IF(OR($H22&gt;=1,AND($H22&gt;0,AV$4+3&lt;$E22+($G22-$E22+1)*$H22)),2,1),IF(AND(Suivi&gt;=AV$4,Suivi&lt;AV$4+7),3,0))</f>
        <v/>
      </c>
      <c r="AW22" s="40">
        <f>IF(AND(AW$4&lt;=$G22,AW$4+6&gt;=$E22),IF(OR($H22&gt;=1,AND($H22&gt;0,AW$4+3&lt;$E22+($G22-$E22+1)*$H22)),2,1),IF(AND(Suivi&gt;=AW$4,Suivi&lt;AW$4+7),3,0))</f>
        <v/>
      </c>
      <c r="AX22" s="40">
        <f>IF(AND(AX$4&lt;=$G22,AX$4+6&gt;=$E22),IF(OR($H22&gt;=1,AND($H22&gt;0,AX$4+3&lt;$E22+($G22-$E22+1)*$H22)),2,1),IF(AND(Suivi&gt;=AX$4,Suivi&lt;AX$4+7),3,0))</f>
        <v/>
      </c>
      <c r="AY22" s="40">
        <f>IF(AND(AY$4&lt;=$G22,AY$4+6&gt;=$E22),IF(OR($H22&gt;=1,AND($H22&gt;0,AY$4+3&lt;$E22+($G22-$E22+1)*$H22)),2,1),IF(AND(Suivi&gt;=AY$4,Suivi&lt;AY$4+7),3,0))</f>
        <v/>
      </c>
      <c r="AZ22" s="40">
        <f>IF(AND(AZ$4&lt;=$G22,AZ$4+6&gt;=$E22),IF(OR($H22&gt;=1,AND($H22&gt;0,AZ$4+3&lt;$E22+($G22-$E22+1)*$H22)),2,1),IF(AND(Suivi&gt;=AZ$4,Suivi&lt;AZ$4+7),3,0))</f>
        <v/>
      </c>
      <c r="BA22" s="40">
        <f>IF(AND(BA$4&lt;=$G22,BA$4+6&gt;=$E22),IF(OR($H22&gt;=1,AND($H22&gt;0,BA$4+3&lt;$E22+($G22-$E22+1)*$H22)),2,1),IF(AND(Suivi&gt;=BA$4,Suivi&lt;BA$4+7),3,0))</f>
        <v/>
      </c>
      <c r="BB22" s="40">
        <f>IF(AND(BB$4&lt;=$G22,BB$4+6&gt;=$E22),IF(OR($H22&gt;=1,AND($H22&gt;0,BB$4+3&lt;$E22+($G22-$E22+1)*$H22)),2,1),IF(AND(Suivi&gt;=BB$4,Suivi&lt;BB$4+7),3,0))</f>
        <v/>
      </c>
      <c r="BC22" s="40">
        <f>IF(AND(BC$4&lt;=$G22,BC$4+6&gt;=$E22),IF(OR($H22&gt;=1,AND($H22&gt;0,BC$4+3&lt;$E22+($G22-$E22+1)*$H22)),2,1),IF(AND(Suivi&gt;=BC$4,Suivi&lt;BC$4+7),3,0))</f>
        <v/>
      </c>
      <c r="BD22" s="40">
        <f>IF(AND(BD$4&lt;=$G22,BD$4+6&gt;=$E22),IF(OR($H22&gt;=1,AND($H22&gt;0,BD$4+3&lt;$E22+($G22-$E22+1)*$H22)),2,1),IF(AND(Suivi&gt;=BD$4,Suivi&lt;BD$4+7),3,0))</f>
        <v/>
      </c>
      <c r="BE22" s="40">
        <f>IF(AND(BE$4&lt;=$G22,BE$4+6&gt;=$E22),IF(OR($H22&gt;=1,AND($H22&gt;0,BE$4+3&lt;$E22+($G22-$E22+1)*$H22)),2,1),IF(AND(Suivi&gt;=BE$4,Suivi&lt;BE$4+7),3,0))</f>
        <v/>
      </c>
      <c r="BF22" s="40">
        <f>IF(AND(BF$4&lt;=$G22,BF$4+6&gt;=$E22),IF(OR($H22&gt;=1,AND($H22&gt;0,BF$4+3&lt;$E22+($G22-$E22+1)*$H22)),2,1),IF(AND(Suivi&gt;=BF$4,Suivi&lt;BF$4+7),3,0))</f>
        <v/>
      </c>
      <c r="BG22" s="40">
        <f>IF(AND(BG$4&lt;=$G22,BG$4+6&gt;=$E22),IF(OR($H22&gt;=1,AND($H22&gt;0,BG$4+3&lt;$E22+($G22-$E22+1)*$H22)),2,1),IF(AND(Suivi&gt;=BG$4,Suivi&lt;BG$4+7),3,0))</f>
        <v/>
      </c>
      <c r="BH22" s="40">
        <f>IF(AND(BH$4&lt;=$G22,BH$4+6&gt;=$E22),IF(OR($H22&gt;=1,AND($H22&gt;0,BH$4+3&lt;$E22+($G22-$E22+1)*$H22)),2,1),IF(AND(Suivi&gt;=BH$4,Suivi&lt;BH$4+7),3,0))</f>
        <v/>
      </c>
      <c r="BI22" s="40">
        <f>IF(AND(BI$4&lt;=$G22,BI$4+6&gt;=$E22),IF(OR($H22&gt;=1,AND($H22&gt;0,BI$4+3&lt;$E22+($G22-$E22+1)*$H22)),2,1),IF(AND(Suivi&gt;=BI$4,Suivi&lt;BI$4+7),3,0))</f>
        <v/>
      </c>
      <c r="BJ22" s="40">
        <f>IF(AND(BJ$4&lt;=$G22,BJ$4+6&gt;=$E22),IF(OR($H22&gt;=1,AND($H22&gt;0,BJ$4+3&lt;$E22+($G22-$E22+1)*$H22)),2,1),IF(AND(Suivi&gt;=BJ$4,Suivi&lt;BJ$4+7),3,0))</f>
        <v/>
      </c>
      <c r="BK22" s="40">
        <f>IF(AND(BK$4&lt;=$G22,BK$4+6&gt;=$E22),IF(OR($H22&gt;=1,AND($H22&gt;0,BK$4+3&lt;$E22+($G22-$E22+1)*$H22)),2,1),IF(AND(Suivi&gt;=BK$4,Suivi&lt;BK$4+7),3,0))</f>
        <v/>
      </c>
      <c r="BL22" s="40">
        <f>IF(AND(BL$4&lt;=$G22,BL$4+6&gt;=$E22),IF(OR($H22&gt;=1,AND($H22&gt;0,BL$4+3&lt;$E22+($G22-$E22+1)*$H22)),2,1),IF(AND(Suivi&gt;=BL$4,Suivi&lt;BL$4+7),3,0))</f>
        <v/>
      </c>
      <c r="BM22" s="40">
        <f>IF(AND(BM$4&lt;=$G22,BM$4+6&gt;=$E22),IF(OR($H22&gt;=1,AND($H22&gt;0,BM$4+3&lt;$E22+($G22-$E22+1)*$H22)),2,1),IF(AND(Suivi&gt;=BM$4,Suivi&lt;BM$4+7),3,0))</f>
        <v/>
      </c>
      <c r="BN22" s="40">
        <f>IF(AND(BN$4&lt;=$G22,BN$4+6&gt;=$E22),IF(OR($H22&gt;=1,AND($H22&gt;0,BN$4+3&lt;$E22+($G22-$E22+1)*$H22)),2,1),IF(AND(Suivi&gt;=BN$4,Suivi&lt;BN$4+7),3,0))</f>
        <v/>
      </c>
      <c r="BO22" s="40">
        <f>IF(AND(BO$4&lt;=$G22,BO$4+6&gt;=$E22),IF(OR($H22&gt;=1,AND($H22&gt;0,BO$4+3&lt;$E22+($G22-$E22+1)*$H22)),2,1),IF(AND(Suivi&gt;=BO$4,Suivi&lt;BO$4+7),3,0))</f>
        <v/>
      </c>
    </row>
    <row r="23" ht="20" customHeight="1">
      <c r="A23" s="36" t="n">
        <v>19</v>
      </c>
      <c r="B23" s="36" t="inlineStr">
        <is>
          <t>الواجهة والتهيئة الخارجية</t>
        </is>
      </c>
      <c r="C23" s="36" t="inlineStr">
        <is>
          <t>تهيئة خارجية</t>
        </is>
      </c>
      <c r="D23" s="36" t="inlineStr">
        <is>
          <t>فريق التهيئة</t>
        </is>
      </c>
      <c r="E23" s="37" t="n">
        <v>46315</v>
      </c>
      <c r="F23" s="36" t="n">
        <v>22</v>
      </c>
      <c r="G23" s="37">
        <f>WORKDAY.INTL(E23,F23-1,Repos)</f>
        <v/>
      </c>
      <c r="H23" s="38" t="n">
        <v>0.16</v>
      </c>
      <c r="I23" s="36">
        <f>IF(H23&gt;=1,"مكتملة",IF(AND(Suivi&gt;G23,H23&lt;1),"متأخرة",IF(Suivi&lt;E23,"لم تبدأ",IF(H23+0.15&lt;(Suivi-E23)/MAX(1,G23-E23),"تحتاج متابعة","جارية"))))</f>
        <v/>
      </c>
      <c r="J23" s="39" t="n">
        <v>1250000</v>
      </c>
      <c r="L23" s="40">
        <f>IF(AND(L$4&lt;=$G23,L$4+6&gt;=$E23),IF(OR($H23&gt;=1,AND($H23&gt;0,L$4+3&lt;$E23+($G23-$E23+1)*$H23)),2,1),IF(AND(Suivi&gt;=L$4,Suivi&lt;L$4+7),3,0))</f>
        <v/>
      </c>
      <c r="M23" s="40">
        <f>IF(AND(M$4&lt;=$G23,M$4+6&gt;=$E23),IF(OR($H23&gt;=1,AND($H23&gt;0,M$4+3&lt;$E23+($G23-$E23+1)*$H23)),2,1),IF(AND(Suivi&gt;=M$4,Suivi&lt;M$4+7),3,0))</f>
        <v/>
      </c>
      <c r="N23" s="40">
        <f>IF(AND(N$4&lt;=$G23,N$4+6&gt;=$E23),IF(OR($H23&gt;=1,AND($H23&gt;0,N$4+3&lt;$E23+($G23-$E23+1)*$H23)),2,1),IF(AND(Suivi&gt;=N$4,Suivi&lt;N$4+7),3,0))</f>
        <v/>
      </c>
      <c r="O23" s="40">
        <f>IF(AND(O$4&lt;=$G23,O$4+6&gt;=$E23),IF(OR($H23&gt;=1,AND($H23&gt;0,O$4+3&lt;$E23+($G23-$E23+1)*$H23)),2,1),IF(AND(Suivi&gt;=O$4,Suivi&lt;O$4+7),3,0))</f>
        <v/>
      </c>
      <c r="P23" s="40">
        <f>IF(AND(P$4&lt;=$G23,P$4+6&gt;=$E23),IF(OR($H23&gt;=1,AND($H23&gt;0,P$4+3&lt;$E23+($G23-$E23+1)*$H23)),2,1),IF(AND(Suivi&gt;=P$4,Suivi&lt;P$4+7),3,0))</f>
        <v/>
      </c>
      <c r="Q23" s="40">
        <f>IF(AND(Q$4&lt;=$G23,Q$4+6&gt;=$E23),IF(OR($H23&gt;=1,AND($H23&gt;0,Q$4+3&lt;$E23+($G23-$E23+1)*$H23)),2,1),IF(AND(Suivi&gt;=Q$4,Suivi&lt;Q$4+7),3,0))</f>
        <v/>
      </c>
      <c r="R23" s="40">
        <f>IF(AND(R$4&lt;=$G23,R$4+6&gt;=$E23),IF(OR($H23&gt;=1,AND($H23&gt;0,R$4+3&lt;$E23+($G23-$E23+1)*$H23)),2,1),IF(AND(Suivi&gt;=R$4,Suivi&lt;R$4+7),3,0))</f>
        <v/>
      </c>
      <c r="S23" s="40">
        <f>IF(AND(S$4&lt;=$G23,S$4+6&gt;=$E23),IF(OR($H23&gt;=1,AND($H23&gt;0,S$4+3&lt;$E23+($G23-$E23+1)*$H23)),2,1),IF(AND(Suivi&gt;=S$4,Suivi&lt;S$4+7),3,0))</f>
        <v/>
      </c>
      <c r="T23" s="40">
        <f>IF(AND(T$4&lt;=$G23,T$4+6&gt;=$E23),IF(OR($H23&gt;=1,AND($H23&gt;0,T$4+3&lt;$E23+($G23-$E23+1)*$H23)),2,1),IF(AND(Suivi&gt;=T$4,Suivi&lt;T$4+7),3,0))</f>
        <v/>
      </c>
      <c r="U23" s="40">
        <f>IF(AND(U$4&lt;=$G23,U$4+6&gt;=$E23),IF(OR($H23&gt;=1,AND($H23&gt;0,U$4+3&lt;$E23+($G23-$E23+1)*$H23)),2,1),IF(AND(Suivi&gt;=U$4,Suivi&lt;U$4+7),3,0))</f>
        <v/>
      </c>
      <c r="V23" s="40">
        <f>IF(AND(V$4&lt;=$G23,V$4+6&gt;=$E23),IF(OR($H23&gt;=1,AND($H23&gt;0,V$4+3&lt;$E23+($G23-$E23+1)*$H23)),2,1),IF(AND(Suivi&gt;=V$4,Suivi&lt;V$4+7),3,0))</f>
        <v/>
      </c>
      <c r="W23" s="40">
        <f>IF(AND(W$4&lt;=$G23,W$4+6&gt;=$E23),IF(OR($H23&gt;=1,AND($H23&gt;0,W$4+3&lt;$E23+($G23-$E23+1)*$H23)),2,1),IF(AND(Suivi&gt;=W$4,Suivi&lt;W$4+7),3,0))</f>
        <v/>
      </c>
      <c r="X23" s="40">
        <f>IF(AND(X$4&lt;=$G23,X$4+6&gt;=$E23),IF(OR($H23&gt;=1,AND($H23&gt;0,X$4+3&lt;$E23+($G23-$E23+1)*$H23)),2,1),IF(AND(Suivi&gt;=X$4,Suivi&lt;X$4+7),3,0))</f>
        <v/>
      </c>
      <c r="Y23" s="40">
        <f>IF(AND(Y$4&lt;=$G23,Y$4+6&gt;=$E23),IF(OR($H23&gt;=1,AND($H23&gt;0,Y$4+3&lt;$E23+($G23-$E23+1)*$H23)),2,1),IF(AND(Suivi&gt;=Y$4,Suivi&lt;Y$4+7),3,0))</f>
        <v/>
      </c>
      <c r="Z23" s="40">
        <f>IF(AND(Z$4&lt;=$G23,Z$4+6&gt;=$E23),IF(OR($H23&gt;=1,AND($H23&gt;0,Z$4+3&lt;$E23+($G23-$E23+1)*$H23)),2,1),IF(AND(Suivi&gt;=Z$4,Suivi&lt;Z$4+7),3,0))</f>
        <v/>
      </c>
      <c r="AA23" s="40">
        <f>IF(AND(AA$4&lt;=$G23,AA$4+6&gt;=$E23),IF(OR($H23&gt;=1,AND($H23&gt;0,AA$4+3&lt;$E23+($G23-$E23+1)*$H23)),2,1),IF(AND(Suivi&gt;=AA$4,Suivi&lt;AA$4+7),3,0))</f>
        <v/>
      </c>
      <c r="AB23" s="40">
        <f>IF(AND(AB$4&lt;=$G23,AB$4+6&gt;=$E23),IF(OR($H23&gt;=1,AND($H23&gt;0,AB$4+3&lt;$E23+($G23-$E23+1)*$H23)),2,1),IF(AND(Suivi&gt;=AB$4,Suivi&lt;AB$4+7),3,0))</f>
        <v/>
      </c>
      <c r="AC23" s="40">
        <f>IF(AND(AC$4&lt;=$G23,AC$4+6&gt;=$E23),IF(OR($H23&gt;=1,AND($H23&gt;0,AC$4+3&lt;$E23+($G23-$E23+1)*$H23)),2,1),IF(AND(Suivi&gt;=AC$4,Suivi&lt;AC$4+7),3,0))</f>
        <v/>
      </c>
      <c r="AD23" s="40">
        <f>IF(AND(AD$4&lt;=$G23,AD$4+6&gt;=$E23),IF(OR($H23&gt;=1,AND($H23&gt;0,AD$4+3&lt;$E23+($G23-$E23+1)*$H23)),2,1),IF(AND(Suivi&gt;=AD$4,Suivi&lt;AD$4+7),3,0))</f>
        <v/>
      </c>
      <c r="AE23" s="40">
        <f>IF(AND(AE$4&lt;=$G23,AE$4+6&gt;=$E23),IF(OR($H23&gt;=1,AND($H23&gt;0,AE$4+3&lt;$E23+($G23-$E23+1)*$H23)),2,1),IF(AND(Suivi&gt;=AE$4,Suivi&lt;AE$4+7),3,0))</f>
        <v/>
      </c>
      <c r="AF23" s="40">
        <f>IF(AND(AF$4&lt;=$G23,AF$4+6&gt;=$E23),IF(OR($H23&gt;=1,AND($H23&gt;0,AF$4+3&lt;$E23+($G23-$E23+1)*$H23)),2,1),IF(AND(Suivi&gt;=AF$4,Suivi&lt;AF$4+7),3,0))</f>
        <v/>
      </c>
      <c r="AG23" s="40">
        <f>IF(AND(AG$4&lt;=$G23,AG$4+6&gt;=$E23),IF(OR($H23&gt;=1,AND($H23&gt;0,AG$4+3&lt;$E23+($G23-$E23+1)*$H23)),2,1),IF(AND(Suivi&gt;=AG$4,Suivi&lt;AG$4+7),3,0))</f>
        <v/>
      </c>
      <c r="AH23" s="40">
        <f>IF(AND(AH$4&lt;=$G23,AH$4+6&gt;=$E23),IF(OR($H23&gt;=1,AND($H23&gt;0,AH$4+3&lt;$E23+($G23-$E23+1)*$H23)),2,1),IF(AND(Suivi&gt;=AH$4,Suivi&lt;AH$4+7),3,0))</f>
        <v/>
      </c>
      <c r="AI23" s="40">
        <f>IF(AND(AI$4&lt;=$G23,AI$4+6&gt;=$E23),IF(OR($H23&gt;=1,AND($H23&gt;0,AI$4+3&lt;$E23+($G23-$E23+1)*$H23)),2,1),IF(AND(Suivi&gt;=AI$4,Suivi&lt;AI$4+7),3,0))</f>
        <v/>
      </c>
      <c r="AJ23" s="40">
        <f>IF(AND(AJ$4&lt;=$G23,AJ$4+6&gt;=$E23),IF(OR($H23&gt;=1,AND($H23&gt;0,AJ$4+3&lt;$E23+($G23-$E23+1)*$H23)),2,1),IF(AND(Suivi&gt;=AJ$4,Suivi&lt;AJ$4+7),3,0))</f>
        <v/>
      </c>
      <c r="AK23" s="40">
        <f>IF(AND(AK$4&lt;=$G23,AK$4+6&gt;=$E23),IF(OR($H23&gt;=1,AND($H23&gt;0,AK$4+3&lt;$E23+($G23-$E23+1)*$H23)),2,1),IF(AND(Suivi&gt;=AK$4,Suivi&lt;AK$4+7),3,0))</f>
        <v/>
      </c>
      <c r="AL23" s="40">
        <f>IF(AND(AL$4&lt;=$G23,AL$4+6&gt;=$E23),IF(OR($H23&gt;=1,AND($H23&gt;0,AL$4+3&lt;$E23+($G23-$E23+1)*$H23)),2,1),IF(AND(Suivi&gt;=AL$4,Suivi&lt;AL$4+7),3,0))</f>
        <v/>
      </c>
      <c r="AM23" s="40">
        <f>IF(AND(AM$4&lt;=$G23,AM$4+6&gt;=$E23),IF(OR($H23&gt;=1,AND($H23&gt;0,AM$4+3&lt;$E23+($G23-$E23+1)*$H23)),2,1),IF(AND(Suivi&gt;=AM$4,Suivi&lt;AM$4+7),3,0))</f>
        <v/>
      </c>
      <c r="AN23" s="40">
        <f>IF(AND(AN$4&lt;=$G23,AN$4+6&gt;=$E23),IF(OR($H23&gt;=1,AND($H23&gt;0,AN$4+3&lt;$E23+($G23-$E23+1)*$H23)),2,1),IF(AND(Suivi&gt;=AN$4,Suivi&lt;AN$4+7),3,0))</f>
        <v/>
      </c>
      <c r="AO23" s="40">
        <f>IF(AND(AO$4&lt;=$G23,AO$4+6&gt;=$E23),IF(OR($H23&gt;=1,AND($H23&gt;0,AO$4+3&lt;$E23+($G23-$E23+1)*$H23)),2,1),IF(AND(Suivi&gt;=AO$4,Suivi&lt;AO$4+7),3,0))</f>
        <v/>
      </c>
      <c r="AP23" s="40">
        <f>IF(AND(AP$4&lt;=$G23,AP$4+6&gt;=$E23),IF(OR($H23&gt;=1,AND($H23&gt;0,AP$4+3&lt;$E23+($G23-$E23+1)*$H23)),2,1),IF(AND(Suivi&gt;=AP$4,Suivi&lt;AP$4+7),3,0))</f>
        <v/>
      </c>
      <c r="AQ23" s="40">
        <f>IF(AND(AQ$4&lt;=$G23,AQ$4+6&gt;=$E23),IF(OR($H23&gt;=1,AND($H23&gt;0,AQ$4+3&lt;$E23+($G23-$E23+1)*$H23)),2,1),IF(AND(Suivi&gt;=AQ$4,Suivi&lt;AQ$4+7),3,0))</f>
        <v/>
      </c>
      <c r="AR23" s="40">
        <f>IF(AND(AR$4&lt;=$G23,AR$4+6&gt;=$E23),IF(OR($H23&gt;=1,AND($H23&gt;0,AR$4+3&lt;$E23+($G23-$E23+1)*$H23)),2,1),IF(AND(Suivi&gt;=AR$4,Suivi&lt;AR$4+7),3,0))</f>
        <v/>
      </c>
      <c r="AS23" s="40">
        <f>IF(AND(AS$4&lt;=$G23,AS$4+6&gt;=$E23),IF(OR($H23&gt;=1,AND($H23&gt;0,AS$4+3&lt;$E23+($G23-$E23+1)*$H23)),2,1),IF(AND(Suivi&gt;=AS$4,Suivi&lt;AS$4+7),3,0))</f>
        <v/>
      </c>
      <c r="AT23" s="40">
        <f>IF(AND(AT$4&lt;=$G23,AT$4+6&gt;=$E23),IF(OR($H23&gt;=1,AND($H23&gt;0,AT$4+3&lt;$E23+($G23-$E23+1)*$H23)),2,1),IF(AND(Suivi&gt;=AT$4,Suivi&lt;AT$4+7),3,0))</f>
        <v/>
      </c>
      <c r="AU23" s="40">
        <f>IF(AND(AU$4&lt;=$G23,AU$4+6&gt;=$E23),IF(OR($H23&gt;=1,AND($H23&gt;0,AU$4+3&lt;$E23+($G23-$E23+1)*$H23)),2,1),IF(AND(Suivi&gt;=AU$4,Suivi&lt;AU$4+7),3,0))</f>
        <v/>
      </c>
      <c r="AV23" s="40">
        <f>IF(AND(AV$4&lt;=$G23,AV$4+6&gt;=$E23),IF(OR($H23&gt;=1,AND($H23&gt;0,AV$4+3&lt;$E23+($G23-$E23+1)*$H23)),2,1),IF(AND(Suivi&gt;=AV$4,Suivi&lt;AV$4+7),3,0))</f>
        <v/>
      </c>
      <c r="AW23" s="40">
        <f>IF(AND(AW$4&lt;=$G23,AW$4+6&gt;=$E23),IF(OR($H23&gt;=1,AND($H23&gt;0,AW$4+3&lt;$E23+($G23-$E23+1)*$H23)),2,1),IF(AND(Suivi&gt;=AW$4,Suivi&lt;AW$4+7),3,0))</f>
        <v/>
      </c>
      <c r="AX23" s="40">
        <f>IF(AND(AX$4&lt;=$G23,AX$4+6&gt;=$E23),IF(OR($H23&gt;=1,AND($H23&gt;0,AX$4+3&lt;$E23+($G23-$E23+1)*$H23)),2,1),IF(AND(Suivi&gt;=AX$4,Suivi&lt;AX$4+7),3,0))</f>
        <v/>
      </c>
      <c r="AY23" s="40">
        <f>IF(AND(AY$4&lt;=$G23,AY$4+6&gt;=$E23),IF(OR($H23&gt;=1,AND($H23&gt;0,AY$4+3&lt;$E23+($G23-$E23+1)*$H23)),2,1),IF(AND(Suivi&gt;=AY$4,Suivi&lt;AY$4+7),3,0))</f>
        <v/>
      </c>
      <c r="AZ23" s="40">
        <f>IF(AND(AZ$4&lt;=$G23,AZ$4+6&gt;=$E23),IF(OR($H23&gt;=1,AND($H23&gt;0,AZ$4+3&lt;$E23+($G23-$E23+1)*$H23)),2,1),IF(AND(Suivi&gt;=AZ$4,Suivi&lt;AZ$4+7),3,0))</f>
        <v/>
      </c>
      <c r="BA23" s="40">
        <f>IF(AND(BA$4&lt;=$G23,BA$4+6&gt;=$E23),IF(OR($H23&gt;=1,AND($H23&gt;0,BA$4+3&lt;$E23+($G23-$E23+1)*$H23)),2,1),IF(AND(Suivi&gt;=BA$4,Suivi&lt;BA$4+7),3,0))</f>
        <v/>
      </c>
      <c r="BB23" s="40">
        <f>IF(AND(BB$4&lt;=$G23,BB$4+6&gt;=$E23),IF(OR($H23&gt;=1,AND($H23&gt;0,BB$4+3&lt;$E23+($G23-$E23+1)*$H23)),2,1),IF(AND(Suivi&gt;=BB$4,Suivi&lt;BB$4+7),3,0))</f>
        <v/>
      </c>
      <c r="BC23" s="40">
        <f>IF(AND(BC$4&lt;=$G23,BC$4+6&gt;=$E23),IF(OR($H23&gt;=1,AND($H23&gt;0,BC$4+3&lt;$E23+($G23-$E23+1)*$H23)),2,1),IF(AND(Suivi&gt;=BC$4,Suivi&lt;BC$4+7),3,0))</f>
        <v/>
      </c>
      <c r="BD23" s="40">
        <f>IF(AND(BD$4&lt;=$G23,BD$4+6&gt;=$E23),IF(OR($H23&gt;=1,AND($H23&gt;0,BD$4+3&lt;$E23+($G23-$E23+1)*$H23)),2,1),IF(AND(Suivi&gt;=BD$4,Suivi&lt;BD$4+7),3,0))</f>
        <v/>
      </c>
      <c r="BE23" s="40">
        <f>IF(AND(BE$4&lt;=$G23,BE$4+6&gt;=$E23),IF(OR($H23&gt;=1,AND($H23&gt;0,BE$4+3&lt;$E23+($G23-$E23+1)*$H23)),2,1),IF(AND(Suivi&gt;=BE$4,Suivi&lt;BE$4+7),3,0))</f>
        <v/>
      </c>
      <c r="BF23" s="40">
        <f>IF(AND(BF$4&lt;=$G23,BF$4+6&gt;=$E23),IF(OR($H23&gt;=1,AND($H23&gt;0,BF$4+3&lt;$E23+($G23-$E23+1)*$H23)),2,1),IF(AND(Suivi&gt;=BF$4,Suivi&lt;BF$4+7),3,0))</f>
        <v/>
      </c>
      <c r="BG23" s="40">
        <f>IF(AND(BG$4&lt;=$G23,BG$4+6&gt;=$E23),IF(OR($H23&gt;=1,AND($H23&gt;0,BG$4+3&lt;$E23+($G23-$E23+1)*$H23)),2,1),IF(AND(Suivi&gt;=BG$4,Suivi&lt;BG$4+7),3,0))</f>
        <v/>
      </c>
      <c r="BH23" s="40">
        <f>IF(AND(BH$4&lt;=$G23,BH$4+6&gt;=$E23),IF(OR($H23&gt;=1,AND($H23&gt;0,BH$4+3&lt;$E23+($G23-$E23+1)*$H23)),2,1),IF(AND(Suivi&gt;=BH$4,Suivi&lt;BH$4+7),3,0))</f>
        <v/>
      </c>
      <c r="BI23" s="40">
        <f>IF(AND(BI$4&lt;=$G23,BI$4+6&gt;=$E23),IF(OR($H23&gt;=1,AND($H23&gt;0,BI$4+3&lt;$E23+($G23-$E23+1)*$H23)),2,1),IF(AND(Suivi&gt;=BI$4,Suivi&lt;BI$4+7),3,0))</f>
        <v/>
      </c>
      <c r="BJ23" s="40">
        <f>IF(AND(BJ$4&lt;=$G23,BJ$4+6&gt;=$E23),IF(OR($H23&gt;=1,AND($H23&gt;0,BJ$4+3&lt;$E23+($G23-$E23+1)*$H23)),2,1),IF(AND(Suivi&gt;=BJ$4,Suivi&lt;BJ$4+7),3,0))</f>
        <v/>
      </c>
      <c r="BK23" s="40">
        <f>IF(AND(BK$4&lt;=$G23,BK$4+6&gt;=$E23),IF(OR($H23&gt;=1,AND($H23&gt;0,BK$4+3&lt;$E23+($G23-$E23+1)*$H23)),2,1),IF(AND(Suivi&gt;=BK$4,Suivi&lt;BK$4+7),3,0))</f>
        <v/>
      </c>
      <c r="BL23" s="40">
        <f>IF(AND(BL$4&lt;=$G23,BL$4+6&gt;=$E23),IF(OR($H23&gt;=1,AND($H23&gt;0,BL$4+3&lt;$E23+($G23-$E23+1)*$H23)),2,1),IF(AND(Suivi&gt;=BL$4,Suivi&lt;BL$4+7),3,0))</f>
        <v/>
      </c>
      <c r="BM23" s="40">
        <f>IF(AND(BM$4&lt;=$G23,BM$4+6&gt;=$E23),IF(OR($H23&gt;=1,AND($H23&gt;0,BM$4+3&lt;$E23+($G23-$E23+1)*$H23)),2,1),IF(AND(Suivi&gt;=BM$4,Suivi&lt;BM$4+7),3,0))</f>
        <v/>
      </c>
      <c r="BN23" s="40">
        <f>IF(AND(BN$4&lt;=$G23,BN$4+6&gt;=$E23),IF(OR($H23&gt;=1,AND($H23&gt;0,BN$4+3&lt;$E23+($G23-$E23+1)*$H23)),2,1),IF(AND(Suivi&gt;=BN$4,Suivi&lt;BN$4+7),3,0))</f>
        <v/>
      </c>
      <c r="BO23" s="40">
        <f>IF(AND(BO$4&lt;=$G23,BO$4+6&gt;=$E23),IF(OR($H23&gt;=1,AND($H23&gt;0,BO$4+3&lt;$E23+($G23-$E23+1)*$H23)),2,1),IF(AND(Suivi&gt;=BO$4,Suivi&lt;BO$4+7),3,0))</f>
        <v/>
      </c>
    </row>
    <row r="24" ht="20" customHeight="1">
      <c r="A24" s="36" t="n">
        <v>20</v>
      </c>
      <c r="B24" s="36" t="inlineStr">
        <is>
          <t>الاستلام وتسليم المفاتيح</t>
        </is>
      </c>
      <c r="C24" s="36" t="inlineStr">
        <is>
          <t>تهيئة خارجية</t>
        </is>
      </c>
      <c r="D24" s="36" t="inlineStr">
        <is>
          <t>مكتب نخلة</t>
        </is>
      </c>
      <c r="E24" s="37" t="n">
        <v>46385</v>
      </c>
      <c r="F24" s="36" t="n">
        <v>6</v>
      </c>
      <c r="G24" s="37">
        <f>WORKDAY.INTL(E24,F24-1,Repos)</f>
        <v/>
      </c>
      <c r="H24" s="38" t="n">
        <v>0</v>
      </c>
      <c r="I24" s="36">
        <f>IF(H24&gt;=1,"مكتملة",IF(AND(Suivi&gt;G24,H24&lt;1),"متأخرة",IF(Suivi&lt;E24,"لم تبدأ",IF(H24+0.15&lt;(Suivi-E24)/MAX(1,G24-E24),"تحتاج متابعة","جارية"))))</f>
        <v/>
      </c>
      <c r="J24" s="39" t="n">
        <v>0</v>
      </c>
      <c r="L24" s="40">
        <f>IF(AND(L$4&lt;=$G24,L$4+6&gt;=$E24),IF(OR($H24&gt;=1,AND($H24&gt;0,L$4+3&lt;$E24+($G24-$E24+1)*$H24)),2,1),IF(AND(Suivi&gt;=L$4,Suivi&lt;L$4+7),3,0))</f>
        <v/>
      </c>
      <c r="M24" s="40">
        <f>IF(AND(M$4&lt;=$G24,M$4+6&gt;=$E24),IF(OR($H24&gt;=1,AND($H24&gt;0,M$4+3&lt;$E24+($G24-$E24+1)*$H24)),2,1),IF(AND(Suivi&gt;=M$4,Suivi&lt;M$4+7),3,0))</f>
        <v/>
      </c>
      <c r="N24" s="40">
        <f>IF(AND(N$4&lt;=$G24,N$4+6&gt;=$E24),IF(OR($H24&gt;=1,AND($H24&gt;0,N$4+3&lt;$E24+($G24-$E24+1)*$H24)),2,1),IF(AND(Suivi&gt;=N$4,Suivi&lt;N$4+7),3,0))</f>
        <v/>
      </c>
      <c r="O24" s="40">
        <f>IF(AND(O$4&lt;=$G24,O$4+6&gt;=$E24),IF(OR($H24&gt;=1,AND($H24&gt;0,O$4+3&lt;$E24+($G24-$E24+1)*$H24)),2,1),IF(AND(Suivi&gt;=O$4,Suivi&lt;O$4+7),3,0))</f>
        <v/>
      </c>
      <c r="P24" s="40">
        <f>IF(AND(P$4&lt;=$G24,P$4+6&gt;=$E24),IF(OR($H24&gt;=1,AND($H24&gt;0,P$4+3&lt;$E24+($G24-$E24+1)*$H24)),2,1),IF(AND(Suivi&gt;=P$4,Suivi&lt;P$4+7),3,0))</f>
        <v/>
      </c>
      <c r="Q24" s="40">
        <f>IF(AND(Q$4&lt;=$G24,Q$4+6&gt;=$E24),IF(OR($H24&gt;=1,AND($H24&gt;0,Q$4+3&lt;$E24+($G24-$E24+1)*$H24)),2,1),IF(AND(Suivi&gt;=Q$4,Suivi&lt;Q$4+7),3,0))</f>
        <v/>
      </c>
      <c r="R24" s="40">
        <f>IF(AND(R$4&lt;=$G24,R$4+6&gt;=$E24),IF(OR($H24&gt;=1,AND($H24&gt;0,R$4+3&lt;$E24+($G24-$E24+1)*$H24)),2,1),IF(AND(Suivi&gt;=R$4,Suivi&lt;R$4+7),3,0))</f>
        <v/>
      </c>
      <c r="S24" s="40">
        <f>IF(AND(S$4&lt;=$G24,S$4+6&gt;=$E24),IF(OR($H24&gt;=1,AND($H24&gt;0,S$4+3&lt;$E24+($G24-$E24+1)*$H24)),2,1),IF(AND(Suivi&gt;=S$4,Suivi&lt;S$4+7),3,0))</f>
        <v/>
      </c>
      <c r="T24" s="40">
        <f>IF(AND(T$4&lt;=$G24,T$4+6&gt;=$E24),IF(OR($H24&gt;=1,AND($H24&gt;0,T$4+3&lt;$E24+($G24-$E24+1)*$H24)),2,1),IF(AND(Suivi&gt;=T$4,Suivi&lt;T$4+7),3,0))</f>
        <v/>
      </c>
      <c r="U24" s="40">
        <f>IF(AND(U$4&lt;=$G24,U$4+6&gt;=$E24),IF(OR($H24&gt;=1,AND($H24&gt;0,U$4+3&lt;$E24+($G24-$E24+1)*$H24)),2,1),IF(AND(Suivi&gt;=U$4,Suivi&lt;U$4+7),3,0))</f>
        <v/>
      </c>
      <c r="V24" s="40">
        <f>IF(AND(V$4&lt;=$G24,V$4+6&gt;=$E24),IF(OR($H24&gt;=1,AND($H24&gt;0,V$4+3&lt;$E24+($G24-$E24+1)*$H24)),2,1),IF(AND(Suivi&gt;=V$4,Suivi&lt;V$4+7),3,0))</f>
        <v/>
      </c>
      <c r="W24" s="40">
        <f>IF(AND(W$4&lt;=$G24,W$4+6&gt;=$E24),IF(OR($H24&gt;=1,AND($H24&gt;0,W$4+3&lt;$E24+($G24-$E24+1)*$H24)),2,1),IF(AND(Suivi&gt;=W$4,Suivi&lt;W$4+7),3,0))</f>
        <v/>
      </c>
      <c r="X24" s="40">
        <f>IF(AND(X$4&lt;=$G24,X$4+6&gt;=$E24),IF(OR($H24&gt;=1,AND($H24&gt;0,X$4+3&lt;$E24+($G24-$E24+1)*$H24)),2,1),IF(AND(Suivi&gt;=X$4,Suivi&lt;X$4+7),3,0))</f>
        <v/>
      </c>
      <c r="Y24" s="40">
        <f>IF(AND(Y$4&lt;=$G24,Y$4+6&gt;=$E24),IF(OR($H24&gt;=1,AND($H24&gt;0,Y$4+3&lt;$E24+($G24-$E24+1)*$H24)),2,1),IF(AND(Suivi&gt;=Y$4,Suivi&lt;Y$4+7),3,0))</f>
        <v/>
      </c>
      <c r="Z24" s="40">
        <f>IF(AND(Z$4&lt;=$G24,Z$4+6&gt;=$E24),IF(OR($H24&gt;=1,AND($H24&gt;0,Z$4+3&lt;$E24+($G24-$E24+1)*$H24)),2,1),IF(AND(Suivi&gt;=Z$4,Suivi&lt;Z$4+7),3,0))</f>
        <v/>
      </c>
      <c r="AA24" s="40">
        <f>IF(AND(AA$4&lt;=$G24,AA$4+6&gt;=$E24),IF(OR($H24&gt;=1,AND($H24&gt;0,AA$4+3&lt;$E24+($G24-$E24+1)*$H24)),2,1),IF(AND(Suivi&gt;=AA$4,Suivi&lt;AA$4+7),3,0))</f>
        <v/>
      </c>
      <c r="AB24" s="40">
        <f>IF(AND(AB$4&lt;=$G24,AB$4+6&gt;=$E24),IF(OR($H24&gt;=1,AND($H24&gt;0,AB$4+3&lt;$E24+($G24-$E24+1)*$H24)),2,1),IF(AND(Suivi&gt;=AB$4,Suivi&lt;AB$4+7),3,0))</f>
        <v/>
      </c>
      <c r="AC24" s="40">
        <f>IF(AND(AC$4&lt;=$G24,AC$4+6&gt;=$E24),IF(OR($H24&gt;=1,AND($H24&gt;0,AC$4+3&lt;$E24+($G24-$E24+1)*$H24)),2,1),IF(AND(Suivi&gt;=AC$4,Suivi&lt;AC$4+7),3,0))</f>
        <v/>
      </c>
      <c r="AD24" s="40">
        <f>IF(AND(AD$4&lt;=$G24,AD$4+6&gt;=$E24),IF(OR($H24&gt;=1,AND($H24&gt;0,AD$4+3&lt;$E24+($G24-$E24+1)*$H24)),2,1),IF(AND(Suivi&gt;=AD$4,Suivi&lt;AD$4+7),3,0))</f>
        <v/>
      </c>
      <c r="AE24" s="40">
        <f>IF(AND(AE$4&lt;=$G24,AE$4+6&gt;=$E24),IF(OR($H24&gt;=1,AND($H24&gt;0,AE$4+3&lt;$E24+($G24-$E24+1)*$H24)),2,1),IF(AND(Suivi&gt;=AE$4,Suivi&lt;AE$4+7),3,0))</f>
        <v/>
      </c>
      <c r="AF24" s="40">
        <f>IF(AND(AF$4&lt;=$G24,AF$4+6&gt;=$E24),IF(OR($H24&gt;=1,AND($H24&gt;0,AF$4+3&lt;$E24+($G24-$E24+1)*$H24)),2,1),IF(AND(Suivi&gt;=AF$4,Suivi&lt;AF$4+7),3,0))</f>
        <v/>
      </c>
      <c r="AG24" s="40">
        <f>IF(AND(AG$4&lt;=$G24,AG$4+6&gt;=$E24),IF(OR($H24&gt;=1,AND($H24&gt;0,AG$4+3&lt;$E24+($G24-$E24+1)*$H24)),2,1),IF(AND(Suivi&gt;=AG$4,Suivi&lt;AG$4+7),3,0))</f>
        <v/>
      </c>
      <c r="AH24" s="40">
        <f>IF(AND(AH$4&lt;=$G24,AH$4+6&gt;=$E24),IF(OR($H24&gt;=1,AND($H24&gt;0,AH$4+3&lt;$E24+($G24-$E24+1)*$H24)),2,1),IF(AND(Suivi&gt;=AH$4,Suivi&lt;AH$4+7),3,0))</f>
        <v/>
      </c>
      <c r="AI24" s="40">
        <f>IF(AND(AI$4&lt;=$G24,AI$4+6&gt;=$E24),IF(OR($H24&gt;=1,AND($H24&gt;0,AI$4+3&lt;$E24+($G24-$E24+1)*$H24)),2,1),IF(AND(Suivi&gt;=AI$4,Suivi&lt;AI$4+7),3,0))</f>
        <v/>
      </c>
      <c r="AJ24" s="40">
        <f>IF(AND(AJ$4&lt;=$G24,AJ$4+6&gt;=$E24),IF(OR($H24&gt;=1,AND($H24&gt;0,AJ$4+3&lt;$E24+($G24-$E24+1)*$H24)),2,1),IF(AND(Suivi&gt;=AJ$4,Suivi&lt;AJ$4+7),3,0))</f>
        <v/>
      </c>
      <c r="AK24" s="40">
        <f>IF(AND(AK$4&lt;=$G24,AK$4+6&gt;=$E24),IF(OR($H24&gt;=1,AND($H24&gt;0,AK$4+3&lt;$E24+($G24-$E24+1)*$H24)),2,1),IF(AND(Suivi&gt;=AK$4,Suivi&lt;AK$4+7),3,0))</f>
        <v/>
      </c>
      <c r="AL24" s="40">
        <f>IF(AND(AL$4&lt;=$G24,AL$4+6&gt;=$E24),IF(OR($H24&gt;=1,AND($H24&gt;0,AL$4+3&lt;$E24+($G24-$E24+1)*$H24)),2,1),IF(AND(Suivi&gt;=AL$4,Suivi&lt;AL$4+7),3,0))</f>
        <v/>
      </c>
      <c r="AM24" s="40">
        <f>IF(AND(AM$4&lt;=$G24,AM$4+6&gt;=$E24),IF(OR($H24&gt;=1,AND($H24&gt;0,AM$4+3&lt;$E24+($G24-$E24+1)*$H24)),2,1),IF(AND(Suivi&gt;=AM$4,Suivi&lt;AM$4+7),3,0))</f>
        <v/>
      </c>
      <c r="AN24" s="40">
        <f>IF(AND(AN$4&lt;=$G24,AN$4+6&gt;=$E24),IF(OR($H24&gt;=1,AND($H24&gt;0,AN$4+3&lt;$E24+($G24-$E24+1)*$H24)),2,1),IF(AND(Suivi&gt;=AN$4,Suivi&lt;AN$4+7),3,0))</f>
        <v/>
      </c>
      <c r="AO24" s="40">
        <f>IF(AND(AO$4&lt;=$G24,AO$4+6&gt;=$E24),IF(OR($H24&gt;=1,AND($H24&gt;0,AO$4+3&lt;$E24+($G24-$E24+1)*$H24)),2,1),IF(AND(Suivi&gt;=AO$4,Suivi&lt;AO$4+7),3,0))</f>
        <v/>
      </c>
      <c r="AP24" s="40">
        <f>IF(AND(AP$4&lt;=$G24,AP$4+6&gt;=$E24),IF(OR($H24&gt;=1,AND($H24&gt;0,AP$4+3&lt;$E24+($G24-$E24+1)*$H24)),2,1),IF(AND(Suivi&gt;=AP$4,Suivi&lt;AP$4+7),3,0))</f>
        <v/>
      </c>
      <c r="AQ24" s="40">
        <f>IF(AND(AQ$4&lt;=$G24,AQ$4+6&gt;=$E24),IF(OR($H24&gt;=1,AND($H24&gt;0,AQ$4+3&lt;$E24+($G24-$E24+1)*$H24)),2,1),IF(AND(Suivi&gt;=AQ$4,Suivi&lt;AQ$4+7),3,0))</f>
        <v/>
      </c>
      <c r="AR24" s="40">
        <f>IF(AND(AR$4&lt;=$G24,AR$4+6&gt;=$E24),IF(OR($H24&gt;=1,AND($H24&gt;0,AR$4+3&lt;$E24+($G24-$E24+1)*$H24)),2,1),IF(AND(Suivi&gt;=AR$4,Suivi&lt;AR$4+7),3,0))</f>
        <v/>
      </c>
      <c r="AS24" s="40">
        <f>IF(AND(AS$4&lt;=$G24,AS$4+6&gt;=$E24),IF(OR($H24&gt;=1,AND($H24&gt;0,AS$4+3&lt;$E24+($G24-$E24+1)*$H24)),2,1),IF(AND(Suivi&gt;=AS$4,Suivi&lt;AS$4+7),3,0))</f>
        <v/>
      </c>
      <c r="AT24" s="40">
        <f>IF(AND(AT$4&lt;=$G24,AT$4+6&gt;=$E24),IF(OR($H24&gt;=1,AND($H24&gt;0,AT$4+3&lt;$E24+($G24-$E24+1)*$H24)),2,1),IF(AND(Suivi&gt;=AT$4,Suivi&lt;AT$4+7),3,0))</f>
        <v/>
      </c>
      <c r="AU24" s="40">
        <f>IF(AND(AU$4&lt;=$G24,AU$4+6&gt;=$E24),IF(OR($H24&gt;=1,AND($H24&gt;0,AU$4+3&lt;$E24+($G24-$E24+1)*$H24)),2,1),IF(AND(Suivi&gt;=AU$4,Suivi&lt;AU$4+7),3,0))</f>
        <v/>
      </c>
      <c r="AV24" s="40">
        <f>IF(AND(AV$4&lt;=$G24,AV$4+6&gt;=$E24),IF(OR($H24&gt;=1,AND($H24&gt;0,AV$4+3&lt;$E24+($G24-$E24+1)*$H24)),2,1),IF(AND(Suivi&gt;=AV$4,Suivi&lt;AV$4+7),3,0))</f>
        <v/>
      </c>
      <c r="AW24" s="40">
        <f>IF(AND(AW$4&lt;=$G24,AW$4+6&gt;=$E24),IF(OR($H24&gt;=1,AND($H24&gt;0,AW$4+3&lt;$E24+($G24-$E24+1)*$H24)),2,1),IF(AND(Suivi&gt;=AW$4,Suivi&lt;AW$4+7),3,0))</f>
        <v/>
      </c>
      <c r="AX24" s="40">
        <f>IF(AND(AX$4&lt;=$G24,AX$4+6&gt;=$E24),IF(OR($H24&gt;=1,AND($H24&gt;0,AX$4+3&lt;$E24+($G24-$E24+1)*$H24)),2,1),IF(AND(Suivi&gt;=AX$4,Suivi&lt;AX$4+7),3,0))</f>
        <v/>
      </c>
      <c r="AY24" s="40">
        <f>IF(AND(AY$4&lt;=$G24,AY$4+6&gt;=$E24),IF(OR($H24&gt;=1,AND($H24&gt;0,AY$4+3&lt;$E24+($G24-$E24+1)*$H24)),2,1),IF(AND(Suivi&gt;=AY$4,Suivi&lt;AY$4+7),3,0))</f>
        <v/>
      </c>
      <c r="AZ24" s="40">
        <f>IF(AND(AZ$4&lt;=$G24,AZ$4+6&gt;=$E24),IF(OR($H24&gt;=1,AND($H24&gt;0,AZ$4+3&lt;$E24+($G24-$E24+1)*$H24)),2,1),IF(AND(Suivi&gt;=AZ$4,Suivi&lt;AZ$4+7),3,0))</f>
        <v/>
      </c>
      <c r="BA24" s="40">
        <f>IF(AND(BA$4&lt;=$G24,BA$4+6&gt;=$E24),IF(OR($H24&gt;=1,AND($H24&gt;0,BA$4+3&lt;$E24+($G24-$E24+1)*$H24)),2,1),IF(AND(Suivi&gt;=BA$4,Suivi&lt;BA$4+7),3,0))</f>
        <v/>
      </c>
      <c r="BB24" s="40">
        <f>IF(AND(BB$4&lt;=$G24,BB$4+6&gt;=$E24),IF(OR($H24&gt;=1,AND($H24&gt;0,BB$4+3&lt;$E24+($G24-$E24+1)*$H24)),2,1),IF(AND(Suivi&gt;=BB$4,Suivi&lt;BB$4+7),3,0))</f>
        <v/>
      </c>
      <c r="BC24" s="40">
        <f>IF(AND(BC$4&lt;=$G24,BC$4+6&gt;=$E24),IF(OR($H24&gt;=1,AND($H24&gt;0,BC$4+3&lt;$E24+($G24-$E24+1)*$H24)),2,1),IF(AND(Suivi&gt;=BC$4,Suivi&lt;BC$4+7),3,0))</f>
        <v/>
      </c>
      <c r="BD24" s="40">
        <f>IF(AND(BD$4&lt;=$G24,BD$4+6&gt;=$E24),IF(OR($H24&gt;=1,AND($H24&gt;0,BD$4+3&lt;$E24+($G24-$E24+1)*$H24)),2,1),IF(AND(Suivi&gt;=BD$4,Suivi&lt;BD$4+7),3,0))</f>
        <v/>
      </c>
      <c r="BE24" s="40">
        <f>IF(AND(BE$4&lt;=$G24,BE$4+6&gt;=$E24),IF(OR($H24&gt;=1,AND($H24&gt;0,BE$4+3&lt;$E24+($G24-$E24+1)*$H24)),2,1),IF(AND(Suivi&gt;=BE$4,Suivi&lt;BE$4+7),3,0))</f>
        <v/>
      </c>
      <c r="BF24" s="40">
        <f>IF(AND(BF$4&lt;=$G24,BF$4+6&gt;=$E24),IF(OR($H24&gt;=1,AND($H24&gt;0,BF$4+3&lt;$E24+($G24-$E24+1)*$H24)),2,1),IF(AND(Suivi&gt;=BF$4,Suivi&lt;BF$4+7),3,0))</f>
        <v/>
      </c>
      <c r="BG24" s="40">
        <f>IF(AND(BG$4&lt;=$G24,BG$4+6&gt;=$E24),IF(OR($H24&gt;=1,AND($H24&gt;0,BG$4+3&lt;$E24+($G24-$E24+1)*$H24)),2,1),IF(AND(Suivi&gt;=BG$4,Suivi&lt;BG$4+7),3,0))</f>
        <v/>
      </c>
      <c r="BH24" s="40">
        <f>IF(AND(BH$4&lt;=$G24,BH$4+6&gt;=$E24),IF(OR($H24&gt;=1,AND($H24&gt;0,BH$4+3&lt;$E24+($G24-$E24+1)*$H24)),2,1),IF(AND(Suivi&gt;=BH$4,Suivi&lt;BH$4+7),3,0))</f>
        <v/>
      </c>
      <c r="BI24" s="40">
        <f>IF(AND(BI$4&lt;=$G24,BI$4+6&gt;=$E24),IF(OR($H24&gt;=1,AND($H24&gt;0,BI$4+3&lt;$E24+($G24-$E24+1)*$H24)),2,1),IF(AND(Suivi&gt;=BI$4,Suivi&lt;BI$4+7),3,0))</f>
        <v/>
      </c>
      <c r="BJ24" s="40">
        <f>IF(AND(BJ$4&lt;=$G24,BJ$4+6&gt;=$E24),IF(OR($H24&gt;=1,AND($H24&gt;0,BJ$4+3&lt;$E24+($G24-$E24+1)*$H24)),2,1),IF(AND(Suivi&gt;=BJ$4,Suivi&lt;BJ$4+7),3,0))</f>
        <v/>
      </c>
      <c r="BK24" s="40">
        <f>IF(AND(BK$4&lt;=$G24,BK$4+6&gt;=$E24),IF(OR($H24&gt;=1,AND($H24&gt;0,BK$4+3&lt;$E24+($G24-$E24+1)*$H24)),2,1),IF(AND(Suivi&gt;=BK$4,Suivi&lt;BK$4+7),3,0))</f>
        <v/>
      </c>
      <c r="BL24" s="40">
        <f>IF(AND(BL$4&lt;=$G24,BL$4+6&gt;=$E24),IF(OR($H24&gt;=1,AND($H24&gt;0,BL$4+3&lt;$E24+($G24-$E24+1)*$H24)),2,1),IF(AND(Suivi&gt;=BL$4,Suivi&lt;BL$4+7),3,0))</f>
        <v/>
      </c>
      <c r="BM24" s="40">
        <f>IF(AND(BM$4&lt;=$G24,BM$4+6&gt;=$E24),IF(OR($H24&gt;=1,AND($H24&gt;0,BM$4+3&lt;$E24+($G24-$E24+1)*$H24)),2,1),IF(AND(Suivi&gt;=BM$4,Suivi&lt;BM$4+7),3,0))</f>
        <v/>
      </c>
      <c r="BN24" s="40">
        <f>IF(AND(BN$4&lt;=$G24,BN$4+6&gt;=$E24),IF(OR($H24&gt;=1,AND($H24&gt;0,BN$4+3&lt;$E24+($G24-$E24+1)*$H24)),2,1),IF(AND(Suivi&gt;=BN$4,Suivi&lt;BN$4+7),3,0))</f>
        <v/>
      </c>
      <c r="BO24" s="40">
        <f>IF(AND(BO$4&lt;=$G24,BO$4+6&gt;=$E24),IF(OR($H24&gt;=1,AND($H24&gt;0,BO$4+3&lt;$E24+($G24-$E24+1)*$H24)),2,1),IF(AND(Suivi&gt;=BO$4,Suivi&lt;BO$4+7),3,0))</f>
        <v/>
      </c>
    </row>
    <row r="26">
      <c r="B26" s="41" t="inlineStr">
        <is>
          <t>مفتاح الألوان:</t>
        </is>
      </c>
      <c r="L26" s="42" t="n"/>
      <c r="M26" s="43" t="inlineStr">
        <is>
          <t>منجز</t>
        </is>
      </c>
      <c r="R26" s="44" t="n"/>
      <c r="S26" s="43" t="inlineStr">
        <is>
          <t>متبقٍ مخطط</t>
        </is>
      </c>
      <c r="X26" s="45" t="n"/>
      <c r="Y26" s="43" t="inlineStr">
        <is>
          <t>متأخر</t>
        </is>
      </c>
      <c r="AD26" s="46" t="n"/>
      <c r="AE26" s="43" t="inlineStr">
        <is>
          <t>أسبوع المتابعة</t>
        </is>
      </c>
    </row>
  </sheetData>
  <mergeCells count="2">
    <mergeCell ref="A1:J1"/>
    <mergeCell ref="A2:J2"/>
  </mergeCells>
  <conditionalFormatting sqref="L5:BO24">
    <cfRule type="expression" priority="1" dxfId="1" stopIfTrue="1">
      <formula>AND(L5=2,$I5="متأخرة")</formula>
    </cfRule>
    <cfRule type="expression" priority="2" dxfId="2" stopIfTrue="1">
      <formula>L5=2</formula>
    </cfRule>
    <cfRule type="expression" priority="3" dxfId="3" stopIfTrue="1">
      <formula>AND(L5=1,$I5="متأخرة")</formula>
    </cfRule>
    <cfRule type="expression" priority="4" dxfId="4" stopIfTrue="1">
      <formula>L5=1</formula>
    </cfRule>
    <cfRule type="expression" priority="5" dxfId="5" stopIfTrue="1">
      <formula>L5=3</formula>
    </cfRule>
  </conditionalFormatting>
  <conditionalFormatting sqref="L4:BO4">
    <cfRule type="expression" priority="6" dxfId="1">
      <formula>AND(Suivi&gt;=L4,Suivi&lt;L4+7)</formula>
    </cfRule>
  </conditionalFormatting>
  <conditionalFormatting sqref="I5:I24">
    <cfRule type="cellIs" priority="7" operator="equal" dxfId="6">
      <formula>"مكتملة"</formula>
    </cfRule>
    <cfRule type="cellIs" priority="8" operator="equal" dxfId="7">
      <formula>"متأخرة"</formula>
    </cfRule>
    <cfRule type="cellIs" priority="9" operator="equal" dxfId="8">
      <formula>"جارية"</formula>
    </cfRule>
    <cfRule type="cellIs" priority="10" operator="equal" dxfId="9">
      <formula>"تحتاج متابعة"</formula>
    </cfRule>
    <cfRule type="cellIs" priority="11" operator="equal" dxfId="10">
      <formula>"لم تبدأ"</formula>
    </cfRule>
  </conditionalFormatting>
  <conditionalFormatting sqref="H5:H24">
    <cfRule type="dataBar" priority="12">
      <dataBar>
        <cfvo type="num" val="0"/>
        <cfvo type="num" val="1"/>
        <color rgb="00B07D3F"/>
      </dataBar>
    </cfRule>
  </conditionalFormatting>
  <dataValidations count="2">
    <dataValidation sqref="C5:C54" showDropDown="0" showInputMessage="0" showErrorMessage="0" allowBlank="1" type="list">
      <formula1>Lots</formula1>
    </dataValidation>
    <dataValidation sqref="H5:H54" showDropDown="0" showInputMessage="0" showErrorMessage="1" allowBlank="0" error="أدخل نسبة بين 0% و100%" type="decimal" operator="between">
      <formula1>0</formula1>
      <formula2>1</formula2>
    </dataValidation>
  </dataValidations>
  <pageMargins left="0.75" right="0.75" top="1" bottom="1" header="0.5" footer="0.5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tabColor rgb="00D6D3CC"/>
    <outlinePr summaryBelow="1" summaryRight="1"/>
    <pageSetUpPr fitToPage="1"/>
  </sheetPr>
  <dimension ref="A1:H13"/>
  <sheetViews>
    <sheetView showGridLines="0" rightToLeft="1"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  <col width="15" customWidth="1" min="4" max="4"/>
    <col width="17" customWidth="1" min="5" max="5"/>
    <col width="12" customWidth="1" min="6" max="6"/>
    <col width="16" customWidth="1" min="7" max="7"/>
    <col width="15" customWidth="1" min="8" max="8"/>
  </cols>
  <sheetData>
    <row r="1">
      <c r="A1" s="32" t="inlineStr">
        <is>
          <t>الميزانية حسب الحصة: المخطط مقابل المصروف</t>
        </is>
      </c>
    </row>
    <row r="3" ht="34" customHeight="1">
      <c r="A3" s="47" t="inlineStr">
        <is>
          <t>الحصة</t>
        </is>
      </c>
      <c r="B3" s="47" t="inlineStr">
        <is>
          <t>الميزانية</t>
        </is>
      </c>
      <c r="C3" s="47" t="inlineStr">
        <is>
          <t>المصروف</t>
        </is>
      </c>
      <c r="D3" s="47" t="inlineStr">
        <is>
          <t>القيمة المنجزة</t>
        </is>
      </c>
      <c r="E3" s="47" t="inlineStr">
        <is>
          <t>الفارق (منجز − مصروف)</t>
        </is>
      </c>
      <c r="F3" s="47" t="inlineStr">
        <is>
          <t>نسبة الاستهلاك</t>
        </is>
      </c>
      <c r="G3" s="47" t="inlineStr">
        <is>
          <t>التوقع عند الإنهاء</t>
        </is>
      </c>
      <c r="H3" s="47" t="inlineStr">
        <is>
          <t>التجاوز المتوقع</t>
        </is>
      </c>
    </row>
    <row r="4">
      <c r="A4" s="30" t="inlineStr">
        <is>
          <t>دراسات وتراخيص</t>
        </is>
      </c>
      <c r="B4" s="48">
        <f>SUMIFS('المخطط الزمني'!$J$5:$J$24,'المخطط الزمني'!$C$5:$C$24,A4)</f>
        <v/>
      </c>
      <c r="C4" s="48">
        <f>SUMIFS(المصاريف!$E:$E,المصاريف!$B:$B,A4)</f>
        <v/>
      </c>
      <c r="D4" s="48">
        <f>SUMPRODUCT(('المخطط الزمني'!$C$5:$C$24=A4)*'المخطط الزمني'!$J$5:$J$24*'المخطط الزمني'!$H$5:$H$24)</f>
        <v/>
      </c>
      <c r="E4" s="48">
        <f>D4-C4</f>
        <v/>
      </c>
      <c r="F4" s="49">
        <f>IF(B4=0,0,C4/B4)</f>
        <v/>
      </c>
      <c r="G4" s="48">
        <f>IF(D4=0,B4,B4*C4/D4)</f>
        <v/>
      </c>
      <c r="H4" s="48">
        <f>G4-B4</f>
        <v/>
      </c>
    </row>
    <row r="5">
      <c r="A5" s="30" t="inlineStr">
        <is>
          <t>أشغال كبرى</t>
        </is>
      </c>
      <c r="B5" s="48">
        <f>SUMIFS('المخطط الزمني'!$J$5:$J$24,'المخطط الزمني'!$C$5:$C$24,A5)</f>
        <v/>
      </c>
      <c r="C5" s="48">
        <f>SUMIFS(المصاريف!$E:$E,المصاريف!$B:$B,A5)</f>
        <v/>
      </c>
      <c r="D5" s="48">
        <f>SUMPRODUCT(('المخطط الزمني'!$C$5:$C$24=A5)*'المخطط الزمني'!$J$5:$J$24*'المخطط الزمني'!$H$5:$H$24)</f>
        <v/>
      </c>
      <c r="E5" s="48">
        <f>D5-C5</f>
        <v/>
      </c>
      <c r="F5" s="49">
        <f>IF(B5=0,0,C5/B5)</f>
        <v/>
      </c>
      <c r="G5" s="48">
        <f>IF(D5=0,B5,B5*C5/D5)</f>
        <v/>
      </c>
      <c r="H5" s="48">
        <f>G5-B5</f>
        <v/>
      </c>
    </row>
    <row r="6">
      <c r="A6" s="30" t="inlineStr">
        <is>
          <t>بناء وعزل</t>
        </is>
      </c>
      <c r="B6" s="48">
        <f>SUMIFS('المخطط الزمني'!$J$5:$J$24,'المخطط الزمني'!$C$5:$C$24,A6)</f>
        <v/>
      </c>
      <c r="C6" s="48">
        <f>SUMIFS(المصاريف!$E:$E,المصاريف!$B:$B,A6)</f>
        <v/>
      </c>
      <c r="D6" s="48">
        <f>SUMPRODUCT(('المخطط الزمني'!$C$5:$C$24=A6)*'المخطط الزمني'!$J$5:$J$24*'المخطط الزمني'!$H$5:$H$24)</f>
        <v/>
      </c>
      <c r="E6" s="48">
        <f>D6-C6</f>
        <v/>
      </c>
      <c r="F6" s="49">
        <f>IF(B6=0,0,C6/B6)</f>
        <v/>
      </c>
      <c r="G6" s="48">
        <f>IF(D6=0,B6,B6*C6/D6)</f>
        <v/>
      </c>
      <c r="H6" s="48">
        <f>G6-B6</f>
        <v/>
      </c>
    </row>
    <row r="7">
      <c r="A7" s="30" t="inlineStr">
        <is>
          <t>شبكات</t>
        </is>
      </c>
      <c r="B7" s="48">
        <f>SUMIFS('المخطط الزمني'!$J$5:$J$24,'المخطط الزمني'!$C$5:$C$24,A7)</f>
        <v/>
      </c>
      <c r="C7" s="48">
        <f>SUMIFS(المصاريف!$E:$E,المصاريف!$B:$B,A7)</f>
        <v/>
      </c>
      <c r="D7" s="48">
        <f>SUMPRODUCT(('المخطط الزمني'!$C$5:$C$24=A7)*'المخطط الزمني'!$J$5:$J$24*'المخطط الزمني'!$H$5:$H$24)</f>
        <v/>
      </c>
      <c r="E7" s="48">
        <f>D7-C7</f>
        <v/>
      </c>
      <c r="F7" s="49">
        <f>IF(B7=0,0,C7/B7)</f>
        <v/>
      </c>
      <c r="G7" s="48">
        <f>IF(D7=0,B7,B7*C7/D7)</f>
        <v/>
      </c>
      <c r="H7" s="48">
        <f>G7-B7</f>
        <v/>
      </c>
    </row>
    <row r="8">
      <c r="A8" s="30" t="inlineStr">
        <is>
          <t>نجارة وألمنيوم</t>
        </is>
      </c>
      <c r="B8" s="48">
        <f>SUMIFS('المخطط الزمني'!$J$5:$J$24,'المخطط الزمني'!$C$5:$C$24,A8)</f>
        <v/>
      </c>
      <c r="C8" s="48">
        <f>SUMIFS(المصاريف!$E:$E,المصاريف!$B:$B,A8)</f>
        <v/>
      </c>
      <c r="D8" s="48">
        <f>SUMPRODUCT(('المخطط الزمني'!$C$5:$C$24=A8)*'المخطط الزمني'!$J$5:$J$24*'المخطط الزمني'!$H$5:$H$24)</f>
        <v/>
      </c>
      <c r="E8" s="48">
        <f>D8-C8</f>
        <v/>
      </c>
      <c r="F8" s="49">
        <f>IF(B8=0,0,C8/B8)</f>
        <v/>
      </c>
      <c r="G8" s="48">
        <f>IF(D8=0,B8,B8*C8/D8)</f>
        <v/>
      </c>
      <c r="H8" s="48">
        <f>G8-B8</f>
        <v/>
      </c>
    </row>
    <row r="9">
      <c r="A9" s="30" t="inlineStr">
        <is>
          <t>تشطيبات</t>
        </is>
      </c>
      <c r="B9" s="48">
        <f>SUMIFS('المخطط الزمني'!$J$5:$J$24,'المخطط الزمني'!$C$5:$C$24,A9)</f>
        <v/>
      </c>
      <c r="C9" s="48">
        <f>SUMIFS(المصاريف!$E:$E,المصاريف!$B:$B,A9)</f>
        <v/>
      </c>
      <c r="D9" s="48">
        <f>SUMPRODUCT(('المخطط الزمني'!$C$5:$C$24=A9)*'المخطط الزمني'!$J$5:$J$24*'المخطط الزمني'!$H$5:$H$24)</f>
        <v/>
      </c>
      <c r="E9" s="48">
        <f>D9-C9</f>
        <v/>
      </c>
      <c r="F9" s="49">
        <f>IF(B9=0,0,C9/B9)</f>
        <v/>
      </c>
      <c r="G9" s="48">
        <f>IF(D9=0,B9,B9*C9/D9)</f>
        <v/>
      </c>
      <c r="H9" s="48">
        <f>G9-B9</f>
        <v/>
      </c>
    </row>
    <row r="10">
      <c r="A10" s="30" t="inlineStr">
        <is>
          <t>تهيئة خارجية</t>
        </is>
      </c>
      <c r="B10" s="48">
        <f>SUMIFS('المخطط الزمني'!$J$5:$J$24,'المخطط الزمني'!$C$5:$C$24,A10)</f>
        <v/>
      </c>
      <c r="C10" s="48">
        <f>SUMIFS(المصاريف!$E:$E,المصاريف!$B:$B,A10)</f>
        <v/>
      </c>
      <c r="D10" s="48">
        <f>SUMPRODUCT(('المخطط الزمني'!$C$5:$C$24=A10)*'المخطط الزمني'!$J$5:$J$24*'المخطط الزمني'!$H$5:$H$24)</f>
        <v/>
      </c>
      <c r="E10" s="48">
        <f>D10-C10</f>
        <v/>
      </c>
      <c r="F10" s="49">
        <f>IF(B10=0,0,C10/B10)</f>
        <v/>
      </c>
      <c r="G10" s="48">
        <f>IF(D10=0,B10,B10*C10/D10)</f>
        <v/>
      </c>
      <c r="H10" s="48">
        <f>G10-B10</f>
        <v/>
      </c>
    </row>
    <row r="11">
      <c r="A11" s="50" t="inlineStr">
        <is>
          <t>المجموع</t>
        </is>
      </c>
      <c r="B11" s="51">
        <f>SUM(B4:B10)</f>
        <v/>
      </c>
      <c r="C11" s="51">
        <f>SUM(C4:C10)</f>
        <v/>
      </c>
      <c r="D11" s="51">
        <f>SUM(D4:D10)</f>
        <v/>
      </c>
      <c r="E11" s="51">
        <f>SUM(E4:E10)</f>
        <v/>
      </c>
      <c r="F11" s="52">
        <f>IF(B11=0,0,C11/B11)</f>
        <v/>
      </c>
      <c r="G11" s="51">
        <f>SUM(G4:G10)</f>
        <v/>
      </c>
      <c r="H11" s="51">
        <f>SUM(H4:H10)</f>
        <v/>
      </c>
    </row>
    <row r="12">
      <c r="A12" s="53" t="inlineStr">
        <is>
          <t>احتياطي الطوارئ</t>
        </is>
      </c>
      <c r="B12" s="54">
        <f>B11*Aleas</f>
        <v/>
      </c>
    </row>
    <row r="13">
      <c r="A13" s="55" t="inlineStr">
        <is>
          <t>الغلاف الإجمالي</t>
        </is>
      </c>
      <c r="B13" s="56">
        <f>B11+B12</f>
        <v/>
      </c>
    </row>
  </sheetData>
  <mergeCells count="1">
    <mergeCell ref="A1:H1"/>
  </mergeCells>
  <conditionalFormatting sqref="F4:F10">
    <cfRule type="dataBar" priority="1">
      <dataBar>
        <cfvo type="num" val="0"/>
        <cfvo type="num" val="1"/>
        <color rgb="00B07D3F"/>
      </dataBar>
    </cfRule>
  </conditionalFormatting>
  <conditionalFormatting sqref="H4:H10">
    <cfRule type="cellIs" priority="2" operator="greaterThan" dxfId="5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D6D3CC"/>
    <outlinePr summaryBelow="1" summaryRight="1"/>
    <pageSetUpPr/>
  </sheetPr>
  <dimension ref="A1:F60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6" customWidth="1" min="3" max="3"/>
    <col width="32" customWidth="1" min="4" max="4"/>
    <col width="16" customWidth="1" min="5" max="5"/>
    <col width="14" customWidth="1" min="6" max="6"/>
  </cols>
  <sheetData>
    <row r="1">
      <c r="A1" s="57" t="inlineStr">
        <is>
          <t>التاريخ</t>
        </is>
      </c>
      <c r="B1" s="57" t="inlineStr">
        <is>
          <t>الحصة</t>
        </is>
      </c>
      <c r="C1" s="57" t="inlineStr">
        <is>
          <t>المورد / المقاول</t>
        </is>
      </c>
      <c r="D1" s="57" t="inlineStr">
        <is>
          <t>البيان</t>
        </is>
      </c>
      <c r="E1" s="57" t="inlineStr">
        <is>
          <t>المبلغ</t>
        </is>
      </c>
      <c r="F1" s="57" t="inlineStr">
        <is>
          <t>طريقة الدفع</t>
        </is>
      </c>
    </row>
    <row r="2">
      <c r="A2" s="58" t="n">
        <v>46086</v>
      </c>
      <c r="B2" s="53" t="inlineStr">
        <is>
          <t>دراسات وتراخيص</t>
        </is>
      </c>
      <c r="C2" s="53" t="inlineStr">
        <is>
          <t>الإدارة المحلية</t>
        </is>
      </c>
      <c r="D2" s="53" t="inlineStr">
        <is>
          <t>الدراسة المعمارية والهندسية</t>
        </is>
      </c>
      <c r="E2" s="59" t="n">
        <v>171000</v>
      </c>
      <c r="F2" s="53" t="inlineStr">
        <is>
          <t>نقدًا</t>
        </is>
      </c>
    </row>
    <row r="3">
      <c r="A3" s="58" t="n">
        <v>46094</v>
      </c>
      <c r="B3" s="53" t="inlineStr">
        <is>
          <t>دراسات وتراخيص</t>
        </is>
      </c>
      <c r="C3" s="53" t="inlineStr">
        <is>
          <t>مكتب الدراسات</t>
        </is>
      </c>
      <c r="D3" s="53" t="inlineStr">
        <is>
          <t>الدراسة المعمارية والهندسية</t>
        </is>
      </c>
      <c r="E3" s="59" t="n">
        <v>171000</v>
      </c>
      <c r="F3" s="53" t="inlineStr">
        <is>
          <t>صك</t>
        </is>
      </c>
    </row>
    <row r="4">
      <c r="A4" s="58" t="n">
        <v>46101</v>
      </c>
      <c r="B4" s="53" t="inlineStr">
        <is>
          <t>دراسات وتراخيص</t>
        </is>
      </c>
      <c r="C4" s="53" t="inlineStr">
        <is>
          <t>مكتب الدراسات</t>
        </is>
      </c>
      <c r="D4" s="53" t="inlineStr">
        <is>
          <t>الدراسة المعمارية والهندسية</t>
        </is>
      </c>
      <c r="E4" s="59" t="n">
        <v>171000</v>
      </c>
      <c r="F4" s="53" t="inlineStr">
        <is>
          <t>نقدًا</t>
        </is>
      </c>
    </row>
    <row r="5">
      <c r="A5" s="58" t="n">
        <v>46109</v>
      </c>
      <c r="B5" s="53" t="inlineStr">
        <is>
          <t>دراسات وتراخيص</t>
        </is>
      </c>
      <c r="C5" s="53" t="inlineStr">
        <is>
          <t>مكتب الدراسات</t>
        </is>
      </c>
      <c r="D5" s="53" t="inlineStr">
        <is>
          <t>الدراسة المعمارية والهندسية</t>
        </is>
      </c>
      <c r="E5" s="59" t="n">
        <v>171000</v>
      </c>
      <c r="F5" s="53" t="inlineStr">
        <is>
          <t>تحويل بنكي</t>
        </is>
      </c>
    </row>
    <row r="6">
      <c r="A6" s="58" t="n">
        <v>46117</v>
      </c>
      <c r="B6" s="53" t="inlineStr">
        <is>
          <t>دراسات وتراخيص</t>
        </is>
      </c>
      <c r="C6" s="53" t="inlineStr">
        <is>
          <t>الإدارة المحلية</t>
        </is>
      </c>
      <c r="D6" s="53" t="inlineStr">
        <is>
          <t>رخصة البناء والملف الإداري</t>
        </is>
      </c>
      <c r="E6" s="59" t="n">
        <v>23000</v>
      </c>
      <c r="F6" s="53" t="inlineStr">
        <is>
          <t>تحويل بنكي</t>
        </is>
      </c>
    </row>
    <row r="7">
      <c r="A7" s="58" t="n">
        <v>46124</v>
      </c>
      <c r="B7" s="53" t="inlineStr">
        <is>
          <t>دراسات وتراخيص</t>
        </is>
      </c>
      <c r="C7" s="53" t="inlineStr">
        <is>
          <t>الإدارة المحلية</t>
        </is>
      </c>
      <c r="D7" s="53" t="inlineStr">
        <is>
          <t>رخصة البناء والملف الإداري</t>
        </is>
      </c>
      <c r="E7" s="59" t="n">
        <v>23000</v>
      </c>
      <c r="F7" s="53" t="inlineStr">
        <is>
          <t>نقدًا</t>
        </is>
      </c>
    </row>
    <row r="8">
      <c r="A8" s="58" t="n">
        <v>46131</v>
      </c>
      <c r="B8" s="53" t="inlineStr">
        <is>
          <t>دراسات وتراخيص</t>
        </is>
      </c>
      <c r="C8" s="53" t="inlineStr">
        <is>
          <t>مكتب الدراسات</t>
        </is>
      </c>
      <c r="D8" s="53" t="inlineStr">
        <is>
          <t>رخصة البناء والملف الإداري</t>
        </is>
      </c>
      <c r="E8" s="59" t="n">
        <v>23000</v>
      </c>
      <c r="F8" s="53" t="inlineStr">
        <is>
          <t>نقدًا</t>
        </is>
      </c>
    </row>
    <row r="9">
      <c r="A9" s="58" t="n">
        <v>46137</v>
      </c>
      <c r="B9" s="53" t="inlineStr">
        <is>
          <t>دراسات وتراخيص</t>
        </is>
      </c>
      <c r="C9" s="53" t="inlineStr">
        <is>
          <t>مكتب الدراسات</t>
        </is>
      </c>
      <c r="D9" s="53" t="inlineStr">
        <is>
          <t>رخصة البناء والملف الإداري</t>
        </is>
      </c>
      <c r="E9" s="59" t="n">
        <v>23000</v>
      </c>
      <c r="F9" s="53" t="inlineStr">
        <is>
          <t>تحويل بنكي</t>
        </is>
      </c>
    </row>
    <row r="10">
      <c r="A10" s="58" t="n">
        <v>46144</v>
      </c>
      <c r="B10" s="53" t="inlineStr">
        <is>
          <t>دراسات وتراخيص</t>
        </is>
      </c>
      <c r="C10" s="53" t="inlineStr">
        <is>
          <t>مكتب الدراسات</t>
        </is>
      </c>
      <c r="D10" s="53" t="inlineStr">
        <is>
          <t>رخصة البناء والملف الإداري</t>
        </is>
      </c>
      <c r="E10" s="59" t="n">
        <v>23000</v>
      </c>
      <c r="F10" s="53" t="inlineStr">
        <is>
          <t>صك</t>
        </is>
      </c>
    </row>
    <row r="11">
      <c r="A11" s="58" t="n">
        <v>46152</v>
      </c>
      <c r="B11" s="53" t="inlineStr">
        <is>
          <t>أشغال كبرى</t>
        </is>
      </c>
      <c r="C11" s="53" t="inlineStr">
        <is>
          <t>مورد الحديد</t>
        </is>
      </c>
      <c r="D11" s="53" t="inlineStr">
        <is>
          <t>تهيئة الأرضية والحفر</t>
        </is>
      </c>
      <c r="E11" s="59" t="n">
        <v>386000</v>
      </c>
      <c r="F11" s="53" t="inlineStr">
        <is>
          <t>تحويل بنكي</t>
        </is>
      </c>
    </row>
    <row r="12">
      <c r="A12" s="58" t="n">
        <v>46158</v>
      </c>
      <c r="B12" s="53" t="inlineStr">
        <is>
          <t>أشغال كبرى</t>
        </is>
      </c>
      <c r="C12" s="53" t="inlineStr">
        <is>
          <t>مؤسسة الخرسانة الجاهزة</t>
        </is>
      </c>
      <c r="D12" s="53" t="inlineStr">
        <is>
          <t>تهيئة الأرضية والحفر</t>
        </is>
      </c>
      <c r="E12" s="59" t="n">
        <v>386000</v>
      </c>
      <c r="F12" s="53" t="inlineStr">
        <is>
          <t>تحويل بنكي</t>
        </is>
      </c>
    </row>
    <row r="13">
      <c r="A13" s="58" t="n">
        <v>46167</v>
      </c>
      <c r="B13" s="53" t="inlineStr">
        <is>
          <t>أشغال كبرى</t>
        </is>
      </c>
      <c r="C13" s="53" t="inlineStr">
        <is>
          <t>مورد الحديد</t>
        </is>
      </c>
      <c r="D13" s="53" t="inlineStr">
        <is>
          <t>الأساسات والقواعد</t>
        </is>
      </c>
      <c r="E13" s="59" t="n">
        <v>911000</v>
      </c>
      <c r="F13" s="53" t="inlineStr">
        <is>
          <t>تحويل بنكي</t>
        </is>
      </c>
    </row>
    <row r="14">
      <c r="A14" s="58" t="n">
        <v>46175</v>
      </c>
      <c r="B14" s="53" t="inlineStr">
        <is>
          <t>أشغال كبرى</t>
        </is>
      </c>
      <c r="C14" s="53" t="inlineStr">
        <is>
          <t>مؤسسة الخرسانة الجاهزة</t>
        </is>
      </c>
      <c r="D14" s="53" t="inlineStr">
        <is>
          <t>الأساسات والقواعد</t>
        </is>
      </c>
      <c r="E14" s="59" t="n">
        <v>911000</v>
      </c>
      <c r="F14" s="53" t="inlineStr">
        <is>
          <t>تحويل بنكي</t>
        </is>
      </c>
    </row>
    <row r="15">
      <c r="A15" s="58" t="n">
        <v>46183</v>
      </c>
      <c r="B15" s="53" t="inlineStr">
        <is>
          <t>أشغال كبرى</t>
        </is>
      </c>
      <c r="C15" s="53" t="inlineStr">
        <is>
          <t>مؤسسة الخرسانة الجاهزة</t>
        </is>
      </c>
      <c r="D15" s="53" t="inlineStr">
        <is>
          <t>الأساسات والقواعد</t>
        </is>
      </c>
      <c r="E15" s="59" t="n">
        <v>911000</v>
      </c>
      <c r="F15" s="53" t="inlineStr">
        <is>
          <t>تحويل بنكي</t>
        </is>
      </c>
    </row>
    <row r="16">
      <c r="A16" s="58" t="n">
        <v>46192</v>
      </c>
      <c r="B16" s="53" t="inlineStr">
        <is>
          <t>أشغال كبرى</t>
        </is>
      </c>
      <c r="C16" s="53" t="inlineStr">
        <is>
          <t>مؤسسة الخرسانة الجاهزة</t>
        </is>
      </c>
      <c r="D16" s="53" t="inlineStr">
        <is>
          <t>هيكل الطابق الأرضي</t>
        </is>
      </c>
      <c r="E16" s="59" t="n">
        <v>782000</v>
      </c>
      <c r="F16" s="53" t="inlineStr">
        <is>
          <t>تحويل بنكي</t>
        </is>
      </c>
    </row>
    <row r="17">
      <c r="A17" s="58" t="n">
        <v>46200</v>
      </c>
      <c r="B17" s="53" t="inlineStr">
        <is>
          <t>أشغال كبرى</t>
        </is>
      </c>
      <c r="C17" s="53" t="inlineStr">
        <is>
          <t>مورد الحديد</t>
        </is>
      </c>
      <c r="D17" s="53" t="inlineStr">
        <is>
          <t>هيكل الطابق الأرضي</t>
        </is>
      </c>
      <c r="E17" s="59" t="n">
        <v>782000</v>
      </c>
      <c r="F17" s="53" t="inlineStr">
        <is>
          <t>صك</t>
        </is>
      </c>
    </row>
    <row r="18">
      <c r="A18" s="58" t="n">
        <v>46207</v>
      </c>
      <c r="B18" s="53" t="inlineStr">
        <is>
          <t>أشغال كبرى</t>
        </is>
      </c>
      <c r="C18" s="53" t="inlineStr">
        <is>
          <t>مؤسسة الخرسانة الجاهزة</t>
        </is>
      </c>
      <c r="D18" s="53" t="inlineStr">
        <is>
          <t>هيكل الطابق الأرضي</t>
        </is>
      </c>
      <c r="E18" s="59" t="n">
        <v>782000</v>
      </c>
      <c r="F18" s="53" t="inlineStr">
        <is>
          <t>نقدًا</t>
        </is>
      </c>
    </row>
    <row r="19">
      <c r="A19" s="58" t="n">
        <v>46215</v>
      </c>
      <c r="B19" s="53" t="inlineStr">
        <is>
          <t>أشغال كبرى</t>
        </is>
      </c>
      <c r="C19" s="53" t="inlineStr">
        <is>
          <t>تأجير العتاد</t>
        </is>
      </c>
      <c r="D19" s="53" t="inlineStr">
        <is>
          <t>هيكل الطابق الأرضي</t>
        </is>
      </c>
      <c r="E19" s="59" t="n">
        <v>782000</v>
      </c>
      <c r="F19" s="53" t="inlineStr">
        <is>
          <t>نقدًا</t>
        </is>
      </c>
    </row>
    <row r="20">
      <c r="A20" s="58" t="n">
        <v>46224</v>
      </c>
      <c r="B20" s="53" t="inlineStr">
        <is>
          <t>أشغال كبرى</t>
        </is>
      </c>
      <c r="C20" s="53" t="inlineStr">
        <is>
          <t>تأجير العتاد</t>
        </is>
      </c>
      <c r="D20" s="53" t="inlineStr">
        <is>
          <t>هيكل الطابق الأول</t>
        </is>
      </c>
      <c r="E20" s="59" t="n">
        <v>659000</v>
      </c>
      <c r="F20" s="53" t="inlineStr">
        <is>
          <t>تحويل بنكي</t>
        </is>
      </c>
    </row>
    <row r="21">
      <c r="A21" s="58" t="n">
        <v>46230</v>
      </c>
      <c r="B21" s="53" t="inlineStr">
        <is>
          <t>أشغال كبرى</t>
        </is>
      </c>
      <c r="C21" s="53" t="inlineStr">
        <is>
          <t>مورد الحديد</t>
        </is>
      </c>
      <c r="D21" s="53" t="inlineStr">
        <is>
          <t>هيكل الطابق الأول</t>
        </is>
      </c>
      <c r="E21" s="59" t="n">
        <v>659000</v>
      </c>
      <c r="F21" s="53" t="inlineStr">
        <is>
          <t>صك</t>
        </is>
      </c>
    </row>
    <row r="22">
      <c r="A22" s="58" t="n">
        <v>46231</v>
      </c>
      <c r="B22" s="53" t="inlineStr">
        <is>
          <t>بناء وعزل</t>
        </is>
      </c>
      <c r="C22" s="53" t="inlineStr">
        <is>
          <t>مقاول العزل</t>
        </is>
      </c>
      <c r="D22" s="53" t="inlineStr">
        <is>
          <t>الجدران والبناء الداخلي</t>
        </is>
      </c>
      <c r="E22" s="59" t="n">
        <v>281000</v>
      </c>
      <c r="F22" s="53" t="inlineStr">
        <is>
          <t>تحويل بنكي</t>
        </is>
      </c>
    </row>
    <row r="23">
      <c r="A23" s="58" t="n">
        <v>46237</v>
      </c>
      <c r="B23" s="53" t="inlineStr">
        <is>
          <t>أشغال كبرى</t>
        </is>
      </c>
      <c r="C23" s="53" t="inlineStr">
        <is>
          <t>مؤسسة الخرسانة الجاهزة</t>
        </is>
      </c>
      <c r="D23" s="53" t="inlineStr">
        <is>
          <t>هيكل الطابق الأول</t>
        </is>
      </c>
      <c r="E23" s="59" t="n">
        <v>659000</v>
      </c>
      <c r="F23" s="53" t="inlineStr">
        <is>
          <t>صك</t>
        </is>
      </c>
    </row>
    <row r="24">
      <c r="A24" s="58" t="n">
        <v>46238</v>
      </c>
      <c r="B24" s="53" t="inlineStr">
        <is>
          <t>بناء وعزل</t>
        </is>
      </c>
      <c r="C24" s="53" t="inlineStr">
        <is>
          <t>مقاول العزل</t>
        </is>
      </c>
      <c r="D24" s="53" t="inlineStr">
        <is>
          <t>الجدران والبناء الداخلي</t>
        </is>
      </c>
      <c r="E24" s="59" t="n">
        <v>281000</v>
      </c>
      <c r="F24" s="53" t="inlineStr">
        <is>
          <t>صك</t>
        </is>
      </c>
    </row>
    <row r="25">
      <c r="A25" s="58" t="n">
        <v>46238</v>
      </c>
      <c r="B25" s="53" t="inlineStr">
        <is>
          <t>شبكات</t>
        </is>
      </c>
      <c r="C25" s="53" t="inlineStr">
        <is>
          <t>مورد الأنابيب</t>
        </is>
      </c>
      <c r="D25" s="53" t="inlineStr">
        <is>
          <t>شبكة الكهرباء (تمديدات)</t>
        </is>
      </c>
      <c r="E25" s="59" t="n">
        <v>343000</v>
      </c>
      <c r="F25" s="53" t="inlineStr">
        <is>
          <t>صك</t>
        </is>
      </c>
    </row>
    <row r="26">
      <c r="A26" s="58" t="n">
        <v>46238</v>
      </c>
      <c r="B26" s="53" t="inlineStr">
        <is>
          <t>شبكات</t>
        </is>
      </c>
      <c r="C26" s="53" t="inlineStr">
        <is>
          <t>مورد المكيفات</t>
        </is>
      </c>
      <c r="D26" s="53" t="inlineStr">
        <is>
          <t>السباكة والصرف الصحي</t>
        </is>
      </c>
      <c r="E26" s="59" t="n">
        <v>313000</v>
      </c>
      <c r="F26" s="53" t="inlineStr">
        <is>
          <t>تحويل بنكي</t>
        </is>
      </c>
    </row>
    <row r="27">
      <c r="A27" s="58" t="n">
        <v>46243</v>
      </c>
      <c r="B27" s="53" t="inlineStr">
        <is>
          <t>أشغال كبرى</t>
        </is>
      </c>
      <c r="C27" s="53" t="inlineStr">
        <is>
          <t>مورد الحديد</t>
        </is>
      </c>
      <c r="D27" s="53" t="inlineStr">
        <is>
          <t>هيكل الطابق الأول</t>
        </is>
      </c>
      <c r="E27" s="59" t="n">
        <v>659000</v>
      </c>
      <c r="F27" s="53" t="inlineStr">
        <is>
          <t>تحويل بنكي</t>
        </is>
      </c>
    </row>
    <row r="28">
      <c r="A28" s="58" t="n">
        <v>46246</v>
      </c>
      <c r="B28" s="53" t="inlineStr">
        <is>
          <t>بناء وعزل</t>
        </is>
      </c>
      <c r="C28" s="53" t="inlineStr">
        <is>
          <t>مقاول العزل</t>
        </is>
      </c>
      <c r="D28" s="53" t="inlineStr">
        <is>
          <t>الجدران والبناء الداخلي</t>
        </is>
      </c>
      <c r="E28" s="59" t="n">
        <v>281000</v>
      </c>
      <c r="F28" s="53" t="inlineStr">
        <is>
          <t>صك</t>
        </is>
      </c>
    </row>
    <row r="29">
      <c r="A29" s="58" t="n">
        <v>46246</v>
      </c>
      <c r="B29" s="53" t="inlineStr">
        <is>
          <t>شبكات</t>
        </is>
      </c>
      <c r="C29" s="53" t="inlineStr">
        <is>
          <t>مورد الكوابل</t>
        </is>
      </c>
      <c r="D29" s="53" t="inlineStr">
        <is>
          <t>السباكة والصرف الصحي</t>
        </is>
      </c>
      <c r="E29" s="59" t="n">
        <v>313000</v>
      </c>
      <c r="F29" s="53" t="inlineStr">
        <is>
          <t>تحويل بنكي</t>
        </is>
      </c>
    </row>
    <row r="30">
      <c r="A30" s="58" t="n">
        <v>46246</v>
      </c>
      <c r="B30" s="53" t="inlineStr">
        <is>
          <t>شبكات</t>
        </is>
      </c>
      <c r="C30" s="53" t="inlineStr">
        <is>
          <t>مورد المكيفات</t>
        </is>
      </c>
      <c r="D30" s="53" t="inlineStr">
        <is>
          <t>شبكة الكهرباء (تمديدات)</t>
        </is>
      </c>
      <c r="E30" s="59" t="n">
        <v>343000</v>
      </c>
      <c r="F30" s="53" t="inlineStr">
        <is>
          <t>تحويل بنكي</t>
        </is>
      </c>
    </row>
    <row r="31">
      <c r="A31" s="58" t="n">
        <v>46252</v>
      </c>
      <c r="B31" s="53" t="inlineStr">
        <is>
          <t>أشغال كبرى</t>
        </is>
      </c>
      <c r="C31" s="53" t="inlineStr">
        <is>
          <t>مورد الحديد</t>
        </is>
      </c>
      <c r="D31" s="53" t="inlineStr">
        <is>
          <t>هيكل الطابق الثاني والسطح</t>
        </is>
      </c>
      <c r="E31" s="59" t="n">
        <v>859000</v>
      </c>
      <c r="F31" s="53" t="inlineStr">
        <is>
          <t>تحويل بنكي</t>
        </is>
      </c>
    </row>
    <row r="32">
      <c r="A32" s="58" t="n">
        <v>46253</v>
      </c>
      <c r="B32" s="53" t="inlineStr">
        <is>
          <t>بناء وعزل</t>
        </is>
      </c>
      <c r="C32" s="53" t="inlineStr">
        <is>
          <t>مقاول العزل</t>
        </is>
      </c>
      <c r="D32" s="53" t="inlineStr">
        <is>
          <t>الجدران والبناء الداخلي</t>
        </is>
      </c>
      <c r="E32" s="59" t="n">
        <v>281000</v>
      </c>
      <c r="F32" s="53" t="inlineStr">
        <is>
          <t>تحويل بنكي</t>
        </is>
      </c>
    </row>
    <row r="33">
      <c r="A33" s="58" t="n">
        <v>46254</v>
      </c>
      <c r="B33" s="53" t="inlineStr">
        <is>
          <t>شبكات</t>
        </is>
      </c>
      <c r="C33" s="53" t="inlineStr">
        <is>
          <t>مورد الأنابيب</t>
        </is>
      </c>
      <c r="D33" s="53" t="inlineStr">
        <is>
          <t>السباكة والصرف الصحي</t>
        </is>
      </c>
      <c r="E33" s="59" t="n">
        <v>313000</v>
      </c>
      <c r="F33" s="53" t="inlineStr">
        <is>
          <t>صك</t>
        </is>
      </c>
    </row>
    <row r="34">
      <c r="A34" s="58" t="n">
        <v>46254</v>
      </c>
      <c r="B34" s="53" t="inlineStr">
        <is>
          <t>شبكات</t>
        </is>
      </c>
      <c r="C34" s="53" t="inlineStr">
        <is>
          <t>مورد الأنابيب</t>
        </is>
      </c>
      <c r="D34" s="53" t="inlineStr">
        <is>
          <t>شبكة الكهرباء (تمديدات)</t>
        </is>
      </c>
      <c r="E34" s="59" t="n">
        <v>343000</v>
      </c>
      <c r="F34" s="53" t="inlineStr">
        <is>
          <t>تحويل بنكي</t>
        </is>
      </c>
    </row>
    <row r="35">
      <c r="A35" s="58" t="n">
        <v>46260</v>
      </c>
      <c r="B35" s="53" t="inlineStr">
        <is>
          <t>أشغال كبرى</t>
        </is>
      </c>
      <c r="C35" s="53" t="inlineStr">
        <is>
          <t>مورد الحديد</t>
        </is>
      </c>
      <c r="D35" s="53" t="inlineStr">
        <is>
          <t>هيكل الطابق الثاني والسطح</t>
        </is>
      </c>
      <c r="E35" s="59" t="n">
        <v>859000</v>
      </c>
      <c r="F35" s="53" t="inlineStr">
        <is>
          <t>صك</t>
        </is>
      </c>
    </row>
    <row r="36">
      <c r="A36" s="58" t="n">
        <v>46260</v>
      </c>
      <c r="B36" s="53" t="inlineStr">
        <is>
          <t>بناء وعزل</t>
        </is>
      </c>
      <c r="C36" s="53" t="inlineStr">
        <is>
          <t>مقاول العزل</t>
        </is>
      </c>
      <c r="D36" s="53" t="inlineStr">
        <is>
          <t>الجدران والبناء الداخلي</t>
        </is>
      </c>
      <c r="E36" s="59" t="n">
        <v>281000</v>
      </c>
      <c r="F36" s="53" t="inlineStr">
        <is>
          <t>صك</t>
        </is>
      </c>
    </row>
    <row r="37">
      <c r="A37" s="58" t="n">
        <v>46262</v>
      </c>
      <c r="B37" s="53" t="inlineStr">
        <is>
          <t>تشطيبات</t>
        </is>
      </c>
      <c r="C37" s="53" t="inlineStr">
        <is>
          <t>مورد الدهن</t>
        </is>
      </c>
      <c r="D37" s="53" t="inlineStr">
        <is>
          <t>اللياسة الداخلية والخارجية</t>
        </is>
      </c>
      <c r="E37" s="59" t="n">
        <v>272000</v>
      </c>
      <c r="F37" s="53" t="inlineStr">
        <is>
          <t>صك</t>
        </is>
      </c>
    </row>
    <row r="38">
      <c r="A38" s="58" t="n">
        <v>46263</v>
      </c>
      <c r="B38" s="53" t="inlineStr">
        <is>
          <t>شبكات</t>
        </is>
      </c>
      <c r="C38" s="53" t="inlineStr">
        <is>
          <t>مورد المكيفات</t>
        </is>
      </c>
      <c r="D38" s="53" t="inlineStr">
        <is>
          <t>التدفئة والتكييف</t>
        </is>
      </c>
      <c r="E38" s="59" t="n">
        <v>594000</v>
      </c>
      <c r="F38" s="53" t="inlineStr">
        <is>
          <t>صك</t>
        </is>
      </c>
    </row>
    <row r="39">
      <c r="A39" s="58" t="n">
        <v>46267</v>
      </c>
      <c r="B39" s="53" t="inlineStr">
        <is>
          <t>أشغال كبرى</t>
        </is>
      </c>
      <c r="C39" s="53" t="inlineStr">
        <is>
          <t>تأجير العتاد</t>
        </is>
      </c>
      <c r="D39" s="53" t="inlineStr">
        <is>
          <t>هيكل الطابق الثاني والسطح</t>
        </is>
      </c>
      <c r="E39" s="59" t="n">
        <v>859000</v>
      </c>
      <c r="F39" s="53" t="inlineStr">
        <is>
          <t>نقدًا</t>
        </is>
      </c>
    </row>
    <row r="40">
      <c r="A40" s="58" t="n">
        <v>46268</v>
      </c>
      <c r="B40" s="53" t="inlineStr">
        <is>
          <t>بناء وعزل</t>
        </is>
      </c>
      <c r="C40" s="53" t="inlineStr">
        <is>
          <t>مورد الآجر</t>
        </is>
      </c>
      <c r="D40" s="53" t="inlineStr">
        <is>
          <t>الجدران والبناء الداخلي</t>
        </is>
      </c>
      <c r="E40" s="59" t="n">
        <v>281000</v>
      </c>
      <c r="F40" s="53" t="inlineStr">
        <is>
          <t>تحويل بنكي</t>
        </is>
      </c>
    </row>
    <row r="41">
      <c r="A41" s="58" t="n">
        <v>46270</v>
      </c>
      <c r="B41" s="53" t="inlineStr">
        <is>
          <t>تشطيبات</t>
        </is>
      </c>
      <c r="C41" s="53" t="inlineStr">
        <is>
          <t>مورد السيراميك</t>
        </is>
      </c>
      <c r="D41" s="53" t="inlineStr">
        <is>
          <t>اللياسة الداخلية والخارجية</t>
        </is>
      </c>
      <c r="E41" s="59" t="n">
        <v>272000</v>
      </c>
      <c r="F41" s="53" t="inlineStr">
        <is>
          <t>صك</t>
        </is>
      </c>
    </row>
    <row r="42">
      <c r="A42" s="58" t="n">
        <v>46271</v>
      </c>
      <c r="B42" s="53" t="inlineStr">
        <is>
          <t>شبكات</t>
        </is>
      </c>
      <c r="C42" s="53" t="inlineStr">
        <is>
          <t>مورد الأنابيب</t>
        </is>
      </c>
      <c r="D42" s="53" t="inlineStr">
        <is>
          <t>التدفئة والتكييف</t>
        </is>
      </c>
      <c r="E42" s="59" t="n">
        <v>594000</v>
      </c>
      <c r="F42" s="53" t="inlineStr">
        <is>
          <t>تحويل بنكي</t>
        </is>
      </c>
    </row>
    <row r="43">
      <c r="A43" s="58" t="n">
        <v>46275</v>
      </c>
      <c r="B43" s="53" t="inlineStr">
        <is>
          <t>أشغال كبرى</t>
        </is>
      </c>
      <c r="C43" s="53" t="inlineStr">
        <is>
          <t>مؤسسة الخرسانة الجاهزة</t>
        </is>
      </c>
      <c r="D43" s="53" t="inlineStr">
        <is>
          <t>هيكل الطابق الثاني والسطح</t>
        </is>
      </c>
      <c r="E43" s="59" t="n">
        <v>859000</v>
      </c>
      <c r="F43" s="53" t="inlineStr">
        <is>
          <t>نقدًا</t>
        </is>
      </c>
    </row>
    <row r="44">
      <c r="A44" s="58" t="n">
        <v>46275</v>
      </c>
      <c r="B44" s="53" t="inlineStr">
        <is>
          <t>بناء وعزل</t>
        </is>
      </c>
      <c r="C44" s="53" t="inlineStr">
        <is>
          <t>مقاول العزل</t>
        </is>
      </c>
      <c r="D44" s="53" t="inlineStr">
        <is>
          <t>الجدران والبناء الداخلي</t>
        </is>
      </c>
      <c r="E44" s="59" t="n">
        <v>281000</v>
      </c>
      <c r="F44" s="53" t="inlineStr">
        <is>
          <t>تحويل بنكي</t>
        </is>
      </c>
    </row>
    <row r="45">
      <c r="A45" s="58" t="n">
        <v>46277</v>
      </c>
      <c r="B45" s="53" t="inlineStr">
        <is>
          <t>تشطيبات</t>
        </is>
      </c>
      <c r="C45" s="53" t="inlineStr">
        <is>
          <t>مورد السيراميك</t>
        </is>
      </c>
      <c r="D45" s="53" t="inlineStr">
        <is>
          <t>اللياسة الداخلية والخارجية</t>
        </is>
      </c>
      <c r="E45" s="59" t="n">
        <v>272000</v>
      </c>
      <c r="F45" s="53" t="inlineStr">
        <is>
          <t>تحويل بنكي</t>
        </is>
      </c>
    </row>
    <row r="46">
      <c r="A46" s="58" t="n">
        <v>46283</v>
      </c>
      <c r="B46" s="53" t="inlineStr">
        <is>
          <t>بناء وعزل</t>
        </is>
      </c>
      <c r="C46" s="53" t="inlineStr">
        <is>
          <t>مقاول العزل</t>
        </is>
      </c>
      <c r="D46" s="53" t="inlineStr">
        <is>
          <t>العزل الحراري والمائي للسطح</t>
        </is>
      </c>
      <c r="E46" s="59" t="n">
        <v>400000</v>
      </c>
      <c r="F46" s="53" t="inlineStr">
        <is>
          <t>صك</t>
        </is>
      </c>
    </row>
    <row r="47">
      <c r="A47" s="58" t="n">
        <v>46284</v>
      </c>
      <c r="B47" s="53" t="inlineStr">
        <is>
          <t>تشطيبات</t>
        </is>
      </c>
      <c r="C47" s="53" t="inlineStr">
        <is>
          <t>مورد الدهن</t>
        </is>
      </c>
      <c r="D47" s="53" t="inlineStr">
        <is>
          <t>اللياسة الداخلية والخارجية</t>
        </is>
      </c>
      <c r="E47" s="59" t="n">
        <v>272000</v>
      </c>
      <c r="F47" s="53" t="inlineStr">
        <is>
          <t>نقدًا</t>
        </is>
      </c>
    </row>
    <row r="48">
      <c r="A48" s="58" t="n">
        <v>46289</v>
      </c>
      <c r="B48" s="53" t="inlineStr">
        <is>
          <t>بناء وعزل</t>
        </is>
      </c>
      <c r="C48" s="53" t="inlineStr">
        <is>
          <t>مورد الآجر</t>
        </is>
      </c>
      <c r="D48" s="53" t="inlineStr">
        <is>
          <t>العزل الحراري والمائي للسطح</t>
        </is>
      </c>
      <c r="E48" s="59" t="n">
        <v>400000</v>
      </c>
      <c r="F48" s="53" t="inlineStr">
        <is>
          <t>نقدًا</t>
        </is>
      </c>
    </row>
    <row r="49">
      <c r="A49" s="58" t="n">
        <v>46292</v>
      </c>
      <c r="B49" s="53" t="inlineStr">
        <is>
          <t>تشطيبات</t>
        </is>
      </c>
      <c r="C49" s="53" t="inlineStr">
        <is>
          <t>مورد التجهيزات الصحية</t>
        </is>
      </c>
      <c r="D49" s="53" t="inlineStr">
        <is>
          <t>اللياسة الداخلية والخارجية</t>
        </is>
      </c>
      <c r="E49" s="59" t="n">
        <v>272000</v>
      </c>
      <c r="F49" s="53" t="inlineStr">
        <is>
          <t>صك</t>
        </is>
      </c>
    </row>
    <row r="50">
      <c r="A50" s="58" t="n">
        <v>46300</v>
      </c>
      <c r="B50" s="53" t="inlineStr">
        <is>
          <t>تشطيبات</t>
        </is>
      </c>
      <c r="C50" s="53" t="inlineStr">
        <is>
          <t>مورد الدهن</t>
        </is>
      </c>
      <c r="D50" s="53" t="inlineStr">
        <is>
          <t>البلاط والسيراميك</t>
        </is>
      </c>
      <c r="E50" s="59" t="n">
        <v>130000</v>
      </c>
      <c r="F50" s="53" t="inlineStr">
        <is>
          <t>تحويل بنكي</t>
        </is>
      </c>
    </row>
    <row r="51">
      <c r="A51" s="58" t="n">
        <v>46302</v>
      </c>
      <c r="B51" s="53" t="inlineStr">
        <is>
          <t>نجارة وألمنيوم</t>
        </is>
      </c>
      <c r="C51" s="53" t="inlineStr">
        <is>
          <t>ورشة النجارة</t>
        </is>
      </c>
      <c r="D51" s="53" t="inlineStr">
        <is>
          <t>نوافذ وأبواب الألمنيوم</t>
        </is>
      </c>
      <c r="E51" s="59" t="n">
        <v>752000</v>
      </c>
      <c r="F51" s="53" t="inlineStr">
        <is>
          <t>صك</t>
        </is>
      </c>
    </row>
    <row r="52">
      <c r="A52" s="58" t="n">
        <v>46304</v>
      </c>
      <c r="B52" s="53" t="inlineStr">
        <is>
          <t>تشطيبات</t>
        </is>
      </c>
      <c r="C52" s="53" t="inlineStr">
        <is>
          <t>مورد السيراميك</t>
        </is>
      </c>
      <c r="D52" s="53" t="inlineStr">
        <is>
          <t>البلاط والسيراميك</t>
        </is>
      </c>
      <c r="E52" s="59" t="n">
        <v>130000</v>
      </c>
      <c r="F52" s="53" t="inlineStr">
        <is>
          <t>نقدًا</t>
        </is>
      </c>
    </row>
    <row r="53">
      <c r="A53" s="58" t="n">
        <v>46308</v>
      </c>
      <c r="B53" s="53" t="inlineStr">
        <is>
          <t>تشطيبات</t>
        </is>
      </c>
      <c r="C53" s="53" t="inlineStr">
        <is>
          <t>مورد السيراميك</t>
        </is>
      </c>
      <c r="D53" s="53" t="inlineStr">
        <is>
          <t>البلاط والسيراميك</t>
        </is>
      </c>
      <c r="E53" s="59" t="n">
        <v>130000</v>
      </c>
      <c r="F53" s="53" t="inlineStr">
        <is>
          <t>نقدًا</t>
        </is>
      </c>
    </row>
    <row r="54">
      <c r="A54" s="58" t="n">
        <v>46310</v>
      </c>
      <c r="B54" s="53" t="inlineStr">
        <is>
          <t>نجارة وألمنيوم</t>
        </is>
      </c>
      <c r="C54" s="53" t="inlineStr">
        <is>
          <t>ورشة الألمنيوم</t>
        </is>
      </c>
      <c r="D54" s="53" t="inlineStr">
        <is>
          <t>نوافذ وأبواب الألمنيوم</t>
        </is>
      </c>
      <c r="E54" s="59" t="n">
        <v>752000</v>
      </c>
      <c r="F54" s="53" t="inlineStr">
        <is>
          <t>صك</t>
        </is>
      </c>
    </row>
    <row r="55">
      <c r="A55" s="58" t="n">
        <v>46313</v>
      </c>
      <c r="B55" s="53" t="inlineStr">
        <is>
          <t>تشطيبات</t>
        </is>
      </c>
      <c r="C55" s="53" t="inlineStr">
        <is>
          <t>مورد التجهيزات الصحية</t>
        </is>
      </c>
      <c r="D55" s="53" t="inlineStr">
        <is>
          <t>البلاط والسيراميك</t>
        </is>
      </c>
      <c r="E55" s="59" t="n">
        <v>130000</v>
      </c>
      <c r="F55" s="53" t="inlineStr">
        <is>
          <t>صك</t>
        </is>
      </c>
    </row>
    <row r="56">
      <c r="A56" s="58" t="n">
        <v>46316</v>
      </c>
      <c r="B56" s="53" t="inlineStr">
        <is>
          <t>تهيئة خارجية</t>
        </is>
      </c>
      <c r="C56" s="53" t="inlineStr">
        <is>
          <t>فريق التهيئة</t>
        </is>
      </c>
      <c r="D56" s="53" t="inlineStr">
        <is>
          <t>الواجهة والتهيئة الخارجية</t>
        </is>
      </c>
      <c r="E56" s="59" t="n">
        <v>64000</v>
      </c>
      <c r="F56" s="53" t="inlineStr">
        <is>
          <t>تحويل بنكي</t>
        </is>
      </c>
    </row>
    <row r="57">
      <c r="A57" s="58" t="n">
        <v>46317</v>
      </c>
      <c r="B57" s="53" t="inlineStr">
        <is>
          <t>تشطيبات</t>
        </is>
      </c>
      <c r="C57" s="53" t="inlineStr">
        <is>
          <t>مورد الدهن</t>
        </is>
      </c>
      <c r="D57" s="53" t="inlineStr">
        <is>
          <t>البلاط والسيراميك</t>
        </is>
      </c>
      <c r="E57" s="59" t="n">
        <v>130000</v>
      </c>
      <c r="F57" s="53" t="inlineStr">
        <is>
          <t>تحويل بنكي</t>
        </is>
      </c>
    </row>
    <row r="58">
      <c r="A58" s="58" t="n">
        <v>46319</v>
      </c>
      <c r="B58" s="53" t="inlineStr">
        <is>
          <t>تهيئة خارجية</t>
        </is>
      </c>
      <c r="C58" s="53" t="inlineStr">
        <is>
          <t>فريق التهيئة</t>
        </is>
      </c>
      <c r="D58" s="53" t="inlineStr">
        <is>
          <t>الواجهة والتهيئة الخارجية</t>
        </is>
      </c>
      <c r="E58" s="59" t="n">
        <v>64000</v>
      </c>
      <c r="F58" s="53" t="inlineStr">
        <is>
          <t>نقدًا</t>
        </is>
      </c>
    </row>
    <row r="59">
      <c r="A59" s="58" t="n">
        <v>46321</v>
      </c>
      <c r="B59" s="53" t="inlineStr">
        <is>
          <t>تشطيبات</t>
        </is>
      </c>
      <c r="C59" s="53" t="inlineStr">
        <is>
          <t>مورد التجهيزات الصحية</t>
        </is>
      </c>
      <c r="D59" s="53" t="inlineStr">
        <is>
          <t>البلاط والسيراميك</t>
        </is>
      </c>
      <c r="E59" s="59" t="n">
        <v>130000</v>
      </c>
      <c r="F59" s="53" t="inlineStr">
        <is>
          <t>تحويل بنكي</t>
        </is>
      </c>
    </row>
    <row r="60">
      <c r="A60" s="58" t="n">
        <v>46322</v>
      </c>
      <c r="B60" s="53" t="inlineStr">
        <is>
          <t>تهيئة خارجية</t>
        </is>
      </c>
      <c r="C60" s="53" t="inlineStr">
        <is>
          <t>فريق التهيئة</t>
        </is>
      </c>
      <c r="D60" s="53" t="inlineStr">
        <is>
          <t>الواجهة والتهيئة الخارجية</t>
        </is>
      </c>
      <c r="E60" s="59" t="n">
        <v>64000</v>
      </c>
      <c r="F60" s="53" t="inlineStr">
        <is>
          <t>صك</t>
        </is>
      </c>
    </row>
  </sheetData>
  <dataValidations count="1">
    <dataValidation sqref="B2:B360" showDropDown="0" showInputMessage="0" showErrorMessage="0" allowBlank="1" type="list">
      <formula1>Lots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D6D3CC"/>
    <outlinePr summaryBelow="1" summaryRight="1"/>
    <pageSetUpPr/>
  </sheetPr>
  <dimension ref="A1:C19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50" customWidth="1" min="3" max="3"/>
  </cols>
  <sheetData>
    <row r="1">
      <c r="A1" s="32" t="inlineStr">
        <is>
          <t>إعدادات المشروع</t>
        </is>
      </c>
    </row>
    <row r="3">
      <c r="A3" s="55" t="inlineStr">
        <is>
          <t>اسم المشروع</t>
        </is>
      </c>
      <c r="B3" s="60" t="inlineStr">
        <is>
          <t>فيلا R+2 — الشراقة، الجزائر (مثال تجريبي)</t>
        </is>
      </c>
    </row>
    <row r="4">
      <c r="A4" s="55" t="inlineStr">
        <is>
          <t>صاحب المشروع</t>
        </is>
      </c>
      <c r="B4" s="60" t="inlineStr">
        <is>
          <t>عميل افتراضي</t>
        </is>
      </c>
    </row>
    <row r="5">
      <c r="A5" s="55" t="inlineStr">
        <is>
          <t>تاريخ الانطلاق</t>
        </is>
      </c>
      <c r="B5" s="61" t="n">
        <v>46083</v>
      </c>
    </row>
    <row r="6">
      <c r="A6" s="55" t="inlineStr">
        <is>
          <t>تاريخ المتابعة</t>
        </is>
      </c>
      <c r="B6" s="62" t="n">
        <v>46324</v>
      </c>
      <c r="C6" s="63" t="inlineStr">
        <is>
          <t>استبدلها بـ ‎=TODAY()‎ عند الاستخدام الفعلي</t>
        </is>
      </c>
    </row>
    <row r="7">
      <c r="A7" s="55" t="inlineStr">
        <is>
          <t>أيام العطلة الأسبوعية</t>
        </is>
      </c>
      <c r="B7" s="60" t="inlineStr">
        <is>
          <t>0000100</t>
        </is>
      </c>
      <c r="C7" s="63" t="inlineStr">
        <is>
          <t>سبعة أرقام من الإثنين إلى الأحد، 1 = يوم عطلة (هنا الجمعة)</t>
        </is>
      </c>
    </row>
    <row r="8">
      <c r="A8" s="55" t="inlineStr">
        <is>
          <t>الأجل التعاقدي</t>
        </is>
      </c>
      <c r="B8" s="61" t="n">
        <v>46477</v>
      </c>
    </row>
    <row r="9">
      <c r="A9" s="55" t="inlineStr">
        <is>
          <t>هامش الطوارئ</t>
        </is>
      </c>
      <c r="B9" s="64" t="n">
        <v>0.07000000000000001</v>
      </c>
    </row>
    <row r="12">
      <c r="A12" s="55" t="inlineStr">
        <is>
          <t>الحصص</t>
        </is>
      </c>
    </row>
    <row r="13">
      <c r="A13" t="inlineStr">
        <is>
          <t>دراسات وتراخيص</t>
        </is>
      </c>
    </row>
    <row r="14">
      <c r="A14" t="inlineStr">
        <is>
          <t>أشغال كبرى</t>
        </is>
      </c>
    </row>
    <row r="15">
      <c r="A15" t="inlineStr">
        <is>
          <t>بناء وعزل</t>
        </is>
      </c>
    </row>
    <row r="16">
      <c r="A16" t="inlineStr">
        <is>
          <t>شبكات</t>
        </is>
      </c>
    </row>
    <row r="17">
      <c r="A17" t="inlineStr">
        <is>
          <t>نجارة وألمنيوم</t>
        </is>
      </c>
    </row>
    <row r="18">
      <c r="A18" t="inlineStr">
        <is>
          <t>تشطيبات</t>
        </is>
      </c>
    </row>
    <row r="19">
      <c r="A19" t="inlineStr">
        <is>
          <t>تهيئة خارجية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Cadrien Studio</dc:creator>
  <dc:title xmlns:dc="http://purl.org/dc/elements/1.1/">Nakhla — suivi de chantier (démo)</dc:title>
  <dcterms:created xmlns:dcterms="http://purl.org/dc/terms/" xmlns:xsi="http://www.w3.org/2001/XMLSchema-instance" xsi:type="dcterms:W3CDTF">2026-10-29T16:07:55Z</dcterms:created>
  <dcterms:modified xmlns:dcterms="http://purl.org/dc/terms/" xmlns:xsi="http://www.w3.org/2001/XMLSchema-instance" xsi:type="dcterms:W3CDTF">2026-10-29T16:07:55Z</dcterms:modified>
</cp:coreProperties>
</file>